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610" windowHeight="11640"/>
  </bookViews>
  <sheets>
    <sheet name="Obra civil sin electr LICIT" sheetId="8" r:id="rId1"/>
    <sheet name="Planilla de Licitación" sheetId="10" r:id="rId2"/>
  </sheets>
  <definedNames>
    <definedName name="_xlnm.Print_Area" localSheetId="0">'Obra civil sin electr LICIT'!$A$1:$L$199</definedName>
    <definedName name="_xlnm.Print_Area" localSheetId="1">'Planilla de Licitación'!$A$1:$C$39</definedName>
  </definedNames>
  <calcPr calcId="145621"/>
</workbook>
</file>

<file path=xl/calcChain.xml><?xml version="1.0" encoding="utf-8"?>
<calcChain xmlns="http://schemas.openxmlformats.org/spreadsheetml/2006/main">
  <c r="F150" i="8" l="1"/>
  <c r="F152" i="8"/>
  <c r="M153" i="8" l="1"/>
  <c r="B35" i="10" l="1"/>
  <c r="H183" i="8" l="1"/>
  <c r="H181" i="8"/>
  <c r="I181" i="8" s="1"/>
  <c r="J181" i="8" s="1"/>
  <c r="G181" i="8"/>
  <c r="G180" i="8" s="1"/>
  <c r="M179" i="8"/>
  <c r="H178" i="8"/>
  <c r="I178" i="8" s="1"/>
  <c r="J178" i="8" s="1"/>
  <c r="G178" i="8"/>
  <c r="H177" i="8"/>
  <c r="I177" i="8" s="1"/>
  <c r="J177" i="8" s="1"/>
  <c r="F177" i="8"/>
  <c r="G177" i="8" s="1"/>
  <c r="M175" i="8"/>
  <c r="H174" i="8"/>
  <c r="I174" i="8" s="1"/>
  <c r="J174" i="8" s="1"/>
  <c r="G174" i="8"/>
  <c r="G173" i="8" s="1"/>
  <c r="M172" i="8"/>
  <c r="H171" i="8"/>
  <c r="I171" i="8" s="1"/>
  <c r="J171" i="8" s="1"/>
  <c r="G171" i="8"/>
  <c r="H170" i="8"/>
  <c r="I170" i="8" s="1"/>
  <c r="J170" i="8" s="1"/>
  <c r="G170" i="8"/>
  <c r="H169" i="8"/>
  <c r="I169" i="8" s="1"/>
  <c r="J169" i="8" s="1"/>
  <c r="G169" i="8"/>
  <c r="H168" i="8"/>
  <c r="I168" i="8" s="1"/>
  <c r="J168" i="8" s="1"/>
  <c r="G168" i="8"/>
  <c r="H167" i="8"/>
  <c r="I167" i="8" s="1"/>
  <c r="J167" i="8" s="1"/>
  <c r="G167" i="8"/>
  <c r="H166" i="8"/>
  <c r="I166" i="8" s="1"/>
  <c r="J166" i="8" s="1"/>
  <c r="G166" i="8"/>
  <c r="H165" i="8"/>
  <c r="I165" i="8" s="1"/>
  <c r="J165" i="8" s="1"/>
  <c r="G165" i="8"/>
  <c r="H164" i="8"/>
  <c r="I164" i="8" s="1"/>
  <c r="J164" i="8" s="1"/>
  <c r="G164" i="8"/>
  <c r="H163" i="8"/>
  <c r="I163" i="8" s="1"/>
  <c r="J163" i="8" s="1"/>
  <c r="G163" i="8"/>
  <c r="H162" i="8"/>
  <c r="I162" i="8" s="1"/>
  <c r="J162" i="8" s="1"/>
  <c r="G162" i="8"/>
  <c r="M160" i="8"/>
  <c r="H159" i="8"/>
  <c r="I159" i="8" s="1"/>
  <c r="J159" i="8" s="1"/>
  <c r="G159" i="8"/>
  <c r="H158" i="8"/>
  <c r="I158" i="8" s="1"/>
  <c r="J158" i="8" s="1"/>
  <c r="G158" i="8"/>
  <c r="H157" i="8"/>
  <c r="I157" i="8" s="1"/>
  <c r="J157" i="8" s="1"/>
  <c r="G157" i="8"/>
  <c r="H156" i="8"/>
  <c r="I156" i="8" s="1"/>
  <c r="J156" i="8" s="1"/>
  <c r="G156" i="8"/>
  <c r="M154" i="8"/>
  <c r="H152" i="8"/>
  <c r="H151" i="8"/>
  <c r="I151" i="8" s="1"/>
  <c r="J151" i="8" s="1"/>
  <c r="G151" i="8"/>
  <c r="H150" i="8"/>
  <c r="G150" i="8"/>
  <c r="M148" i="8"/>
  <c r="H147" i="8"/>
  <c r="I147" i="8" s="1"/>
  <c r="J147" i="8" s="1"/>
  <c r="F147" i="8"/>
  <c r="G147" i="8" s="1"/>
  <c r="H146" i="8"/>
  <c r="F146" i="8"/>
  <c r="G146" i="8" s="1"/>
  <c r="H145" i="8"/>
  <c r="F145" i="8"/>
  <c r="G145" i="8" s="1"/>
  <c r="H144" i="8"/>
  <c r="F144" i="8"/>
  <c r="G144" i="8" s="1"/>
  <c r="H143" i="8"/>
  <c r="F143" i="8"/>
  <c r="G143" i="8" s="1"/>
  <c r="H142" i="8"/>
  <c r="F142" i="8"/>
  <c r="G142" i="8" s="1"/>
  <c r="H141" i="8"/>
  <c r="F141" i="8"/>
  <c r="G141" i="8" s="1"/>
  <c r="M139" i="8"/>
  <c r="H138" i="8"/>
  <c r="I138" i="8" s="1"/>
  <c r="J138" i="8" s="1"/>
  <c r="G138" i="8"/>
  <c r="H137" i="8"/>
  <c r="I137" i="8" s="1"/>
  <c r="J137" i="8" s="1"/>
  <c r="G137" i="8"/>
  <c r="H136" i="8"/>
  <c r="I136" i="8" s="1"/>
  <c r="J136" i="8" s="1"/>
  <c r="G136" i="8"/>
  <c r="H135" i="8"/>
  <c r="I135" i="8" s="1"/>
  <c r="J135" i="8" s="1"/>
  <c r="G135" i="8"/>
  <c r="M133" i="8"/>
  <c r="M132" i="8"/>
  <c r="H131" i="8"/>
  <c r="I131" i="8" s="1"/>
  <c r="J131" i="8" s="1"/>
  <c r="J130" i="8" s="1"/>
  <c r="G131" i="8"/>
  <c r="G130" i="8" s="1"/>
  <c r="M129" i="8"/>
  <c r="H128" i="8"/>
  <c r="I128" i="8" s="1"/>
  <c r="J128" i="8" s="1"/>
  <c r="G128" i="8"/>
  <c r="H127" i="8"/>
  <c r="I127" i="8" s="1"/>
  <c r="J127" i="8" s="1"/>
  <c r="G127" i="8"/>
  <c r="H126" i="8"/>
  <c r="I126" i="8" s="1"/>
  <c r="J126" i="8" s="1"/>
  <c r="G126" i="8"/>
  <c r="H125" i="8"/>
  <c r="I125" i="8" s="1"/>
  <c r="J125" i="8" s="1"/>
  <c r="G125" i="8"/>
  <c r="M123" i="8"/>
  <c r="H122" i="8"/>
  <c r="F122" i="8"/>
  <c r="G122" i="8" s="1"/>
  <c r="H121" i="8"/>
  <c r="F121" i="8"/>
  <c r="G121" i="8" s="1"/>
  <c r="H120" i="8"/>
  <c r="F120" i="8"/>
  <c r="G120" i="8" s="1"/>
  <c r="H119" i="8"/>
  <c r="F119" i="8"/>
  <c r="G119" i="8" s="1"/>
  <c r="M117" i="8"/>
  <c r="M116" i="8"/>
  <c r="L115" i="8"/>
  <c r="M115" i="8" s="1"/>
  <c r="G115" i="8"/>
  <c r="L114" i="8"/>
  <c r="M114" i="8" s="1"/>
  <c r="G114" i="8"/>
  <c r="L113" i="8"/>
  <c r="M113" i="8" s="1"/>
  <c r="G113" i="8"/>
  <c r="L112" i="8"/>
  <c r="M112" i="8" s="1"/>
  <c r="G112" i="8"/>
  <c r="L111" i="8"/>
  <c r="M111" i="8" s="1"/>
  <c r="G111" i="8"/>
  <c r="L110" i="8"/>
  <c r="M110" i="8" s="1"/>
  <c r="G110" i="8"/>
  <c r="H109" i="8"/>
  <c r="M107" i="8"/>
  <c r="M106" i="8"/>
  <c r="H106" i="8"/>
  <c r="H105" i="8"/>
  <c r="I105" i="8" s="1"/>
  <c r="J105" i="8" s="1"/>
  <c r="G105" i="8"/>
  <c r="H104" i="8"/>
  <c r="I104" i="8" s="1"/>
  <c r="J104" i="8" s="1"/>
  <c r="G104" i="8"/>
  <c r="H103" i="8"/>
  <c r="I103" i="8" s="1"/>
  <c r="J103" i="8" s="1"/>
  <c r="G103" i="8"/>
  <c r="M101" i="8"/>
  <c r="H100" i="8"/>
  <c r="I100" i="8" s="1"/>
  <c r="J100" i="8" s="1"/>
  <c r="G100" i="8"/>
  <c r="M99" i="8"/>
  <c r="H99" i="8"/>
  <c r="H98" i="8"/>
  <c r="I98" i="8" s="1"/>
  <c r="J98" i="8" s="1"/>
  <c r="G98" i="8"/>
  <c r="H97" i="8"/>
  <c r="I97" i="8" s="1"/>
  <c r="J97" i="8" s="1"/>
  <c r="G97" i="8"/>
  <c r="G96" i="8" s="1"/>
  <c r="M95" i="8"/>
  <c r="H94" i="8"/>
  <c r="I94" i="8" s="1"/>
  <c r="J94" i="8" s="1"/>
  <c r="G94" i="8"/>
  <c r="H93" i="8"/>
  <c r="I93" i="8" s="1"/>
  <c r="J93" i="8" s="1"/>
  <c r="G93" i="8"/>
  <c r="H92" i="8"/>
  <c r="I92" i="8" s="1"/>
  <c r="J92" i="8" s="1"/>
  <c r="G92" i="8"/>
  <c r="H91" i="8"/>
  <c r="I91" i="8" s="1"/>
  <c r="J91" i="8" s="1"/>
  <c r="G91" i="8"/>
  <c r="H90" i="8"/>
  <c r="I90" i="8" s="1"/>
  <c r="J90" i="8" s="1"/>
  <c r="G90" i="8"/>
  <c r="H89" i="8"/>
  <c r="I89" i="8" s="1"/>
  <c r="J89" i="8" s="1"/>
  <c r="G89" i="8"/>
  <c r="H88" i="8"/>
  <c r="I88" i="8" s="1"/>
  <c r="J88" i="8" s="1"/>
  <c r="G88" i="8"/>
  <c r="H87" i="8"/>
  <c r="I87" i="8" s="1"/>
  <c r="J87" i="8" s="1"/>
  <c r="G87" i="8"/>
  <c r="H86" i="8"/>
  <c r="I86" i="8" s="1"/>
  <c r="J86" i="8" s="1"/>
  <c r="G86" i="8"/>
  <c r="H85" i="8"/>
  <c r="I85" i="8" s="1"/>
  <c r="J85" i="8" s="1"/>
  <c r="G85" i="8"/>
  <c r="M83" i="8"/>
  <c r="H82" i="8"/>
  <c r="I82" i="8" s="1"/>
  <c r="J82" i="8" s="1"/>
  <c r="G82" i="8"/>
  <c r="H81" i="8"/>
  <c r="I81" i="8" s="1"/>
  <c r="J81" i="8" s="1"/>
  <c r="G81" i="8"/>
  <c r="M79" i="8"/>
  <c r="H78" i="8"/>
  <c r="I78" i="8" s="1"/>
  <c r="J78" i="8" s="1"/>
  <c r="G78" i="8"/>
  <c r="H77" i="8"/>
  <c r="I77" i="8" s="1"/>
  <c r="J77" i="8" s="1"/>
  <c r="G77" i="8"/>
  <c r="M75" i="8"/>
  <c r="H74" i="8"/>
  <c r="I74" i="8" s="1"/>
  <c r="J74" i="8" s="1"/>
  <c r="G74" i="8"/>
  <c r="H73" i="8"/>
  <c r="I73" i="8" s="1"/>
  <c r="J73" i="8" s="1"/>
  <c r="G73" i="8"/>
  <c r="H72" i="8"/>
  <c r="F72" i="8"/>
  <c r="G72" i="8" s="1"/>
  <c r="H71" i="8"/>
  <c r="F71" i="8"/>
  <c r="G71" i="8" s="1"/>
  <c r="H70" i="8"/>
  <c r="F70" i="8"/>
  <c r="G70" i="8" s="1"/>
  <c r="H69" i="8"/>
  <c r="I69" i="8" s="1"/>
  <c r="J69" i="8" s="1"/>
  <c r="F69" i="8"/>
  <c r="G69" i="8" s="1"/>
  <c r="M67" i="8"/>
  <c r="H66" i="8"/>
  <c r="I66" i="8" s="1"/>
  <c r="J66" i="8" s="1"/>
  <c r="G66" i="8"/>
  <c r="H65" i="8"/>
  <c r="I65" i="8" s="1"/>
  <c r="J65" i="8" s="1"/>
  <c r="G65" i="8"/>
  <c r="H64" i="8"/>
  <c r="F64" i="8"/>
  <c r="G64" i="8" s="1"/>
  <c r="M62" i="8"/>
  <c r="M61" i="8"/>
  <c r="H60" i="8"/>
  <c r="I60" i="8" s="1"/>
  <c r="G60" i="8"/>
  <c r="D60" i="8"/>
  <c r="H59" i="8"/>
  <c r="I59" i="8" s="1"/>
  <c r="J59" i="8" s="1"/>
  <c r="M59" i="8" s="1"/>
  <c r="D59" i="8"/>
  <c r="H58" i="8"/>
  <c r="I58" i="8" s="1"/>
  <c r="J58" i="8" s="1"/>
  <c r="D58" i="8"/>
  <c r="G58" i="8" s="1"/>
  <c r="M56" i="8"/>
  <c r="M55" i="8"/>
  <c r="H55" i="8"/>
  <c r="H54" i="8"/>
  <c r="I54" i="8" s="1"/>
  <c r="J54" i="8" s="1"/>
  <c r="G54" i="8"/>
  <c r="H53" i="8"/>
  <c r="I53" i="8" s="1"/>
  <c r="J53" i="8" s="1"/>
  <c r="G53" i="8"/>
  <c r="H52" i="8"/>
  <c r="I52" i="8" s="1"/>
  <c r="J52" i="8" s="1"/>
  <c r="G52" i="8"/>
  <c r="H51" i="8"/>
  <c r="I51" i="8" s="1"/>
  <c r="J51" i="8" s="1"/>
  <c r="G51" i="8"/>
  <c r="H50" i="8"/>
  <c r="I50" i="8" s="1"/>
  <c r="J50" i="8" s="1"/>
  <c r="G50" i="8"/>
  <c r="H49" i="8"/>
  <c r="I49" i="8" s="1"/>
  <c r="J49" i="8" s="1"/>
  <c r="G49" i="8"/>
  <c r="M47" i="8"/>
  <c r="H46" i="8"/>
  <c r="I46" i="8" s="1"/>
  <c r="M44" i="8"/>
  <c r="M43" i="8"/>
  <c r="H42" i="8"/>
  <c r="I42" i="8" s="1"/>
  <c r="J42" i="8" s="1"/>
  <c r="G42" i="8"/>
  <c r="H41" i="8"/>
  <c r="I41" i="8" s="1"/>
  <c r="J41" i="8" s="1"/>
  <c r="G41" i="8"/>
  <c r="H40" i="8"/>
  <c r="I40" i="8" s="1"/>
  <c r="J40" i="8" s="1"/>
  <c r="G40" i="8"/>
  <c r="H39" i="8"/>
  <c r="I39" i="8" s="1"/>
  <c r="D39" i="8"/>
  <c r="G39" i="8" s="1"/>
  <c r="H38" i="8"/>
  <c r="I38" i="8" s="1"/>
  <c r="G38" i="8"/>
  <c r="D38" i="8"/>
  <c r="H37" i="8"/>
  <c r="I37" i="8" s="1"/>
  <c r="D37" i="8"/>
  <c r="H36" i="8"/>
  <c r="I36" i="8" s="1"/>
  <c r="J36" i="8" s="1"/>
  <c r="G36" i="8"/>
  <c r="H35" i="8"/>
  <c r="I35" i="8" s="1"/>
  <c r="D35" i="8"/>
  <c r="G35" i="8" s="1"/>
  <c r="H34" i="8"/>
  <c r="I34" i="8" s="1"/>
  <c r="D34" i="8"/>
  <c r="G34" i="8" s="1"/>
  <c r="H33" i="8"/>
  <c r="I33" i="8" s="1"/>
  <c r="D33" i="8"/>
  <c r="G33" i="8" s="1"/>
  <c r="H32" i="8"/>
  <c r="I32" i="8" s="1"/>
  <c r="D32" i="8"/>
  <c r="G32" i="8" s="1"/>
  <c r="M30" i="8"/>
  <c r="M29" i="8"/>
  <c r="H28" i="8"/>
  <c r="F28" i="8"/>
  <c r="G28" i="8" s="1"/>
  <c r="H27" i="8"/>
  <c r="F27" i="8"/>
  <c r="G27" i="8" s="1"/>
  <c r="H26" i="8"/>
  <c r="F26" i="8"/>
  <c r="G26" i="8" s="1"/>
  <c r="H25" i="8"/>
  <c r="I25" i="8" s="1"/>
  <c r="J25" i="8" s="1"/>
  <c r="G25" i="8"/>
  <c r="F25" i="8"/>
  <c r="M23" i="8"/>
  <c r="M22" i="8"/>
  <c r="H21" i="8"/>
  <c r="F21" i="8"/>
  <c r="G21" i="8" s="1"/>
  <c r="H20" i="8"/>
  <c r="F20" i="8"/>
  <c r="G20" i="8" s="1"/>
  <c r="H19" i="8"/>
  <c r="F19" i="8"/>
  <c r="G19" i="8" s="1"/>
  <c r="H18" i="8"/>
  <c r="F18" i="8"/>
  <c r="G18" i="8" s="1"/>
  <c r="H17" i="8"/>
  <c r="F17" i="8"/>
  <c r="G17" i="8" s="1"/>
  <c r="A16" i="8"/>
  <c r="A24" i="8" s="1"/>
  <c r="M15" i="8"/>
  <c r="M14" i="8"/>
  <c r="H14" i="8"/>
  <c r="H13" i="8"/>
  <c r="I13" i="8" s="1"/>
  <c r="J13" i="8" s="1"/>
  <c r="G13" i="8"/>
  <c r="H12" i="8"/>
  <c r="I12" i="8" s="1"/>
  <c r="J12" i="8" s="1"/>
  <c r="G12" i="8"/>
  <c r="H11" i="8"/>
  <c r="I11" i="8" s="1"/>
  <c r="J11" i="8" s="1"/>
  <c r="G11" i="8"/>
  <c r="M10" i="8"/>
  <c r="H10" i="8"/>
  <c r="A10" i="8"/>
  <c r="A11" i="8" s="1"/>
  <c r="A12" i="8" s="1"/>
  <c r="A13" i="8" s="1"/>
  <c r="A14" i="8" s="1"/>
  <c r="L4" i="8"/>
  <c r="K99" i="8" s="1"/>
  <c r="G102" i="8" l="1"/>
  <c r="G9" i="8"/>
  <c r="G80" i="8"/>
  <c r="I18" i="8"/>
  <c r="J18" i="8" s="1"/>
  <c r="G149" i="8"/>
  <c r="J37" i="8"/>
  <c r="G48" i="8"/>
  <c r="I119" i="8"/>
  <c r="J119" i="8" s="1"/>
  <c r="I121" i="8"/>
  <c r="J121" i="8" s="1"/>
  <c r="K17" i="8"/>
  <c r="K10" i="8"/>
  <c r="I20" i="8"/>
  <c r="J20" i="8" s="1"/>
  <c r="D46" i="8"/>
  <c r="G46" i="8" s="1"/>
  <c r="G45" i="8" s="1"/>
  <c r="J39" i="8"/>
  <c r="G57" i="8"/>
  <c r="K19" i="8"/>
  <c r="K21" i="8"/>
  <c r="I27" i="8"/>
  <c r="J27" i="8" s="1"/>
  <c r="J33" i="8"/>
  <c r="J35" i="8"/>
  <c r="K36" i="8"/>
  <c r="L36" i="8" s="1"/>
  <c r="M36" i="8" s="1"/>
  <c r="K38" i="8"/>
  <c r="K58" i="8"/>
  <c r="L58" i="8" s="1"/>
  <c r="K59" i="8"/>
  <c r="K60" i="8"/>
  <c r="K70" i="8"/>
  <c r="G152" i="8"/>
  <c r="K14" i="8"/>
  <c r="I17" i="8"/>
  <c r="J17" i="8" s="1"/>
  <c r="L17" i="8" s="1"/>
  <c r="I19" i="8"/>
  <c r="J19" i="8" s="1"/>
  <c r="L19" i="8" s="1"/>
  <c r="M19" i="8" s="1"/>
  <c r="I21" i="8"/>
  <c r="J21" i="8" s="1"/>
  <c r="K25" i="8"/>
  <c r="I26" i="8"/>
  <c r="J26" i="8" s="1"/>
  <c r="K27" i="8"/>
  <c r="I28" i="8"/>
  <c r="J28" i="8" s="1"/>
  <c r="J24" i="8" s="1"/>
  <c r="J32" i="8"/>
  <c r="K33" i="8"/>
  <c r="J34" i="8"/>
  <c r="K35" i="8"/>
  <c r="L35" i="8" s="1"/>
  <c r="M35" i="8" s="1"/>
  <c r="J38" i="8"/>
  <c r="J60" i="8"/>
  <c r="K71" i="8"/>
  <c r="I72" i="8"/>
  <c r="J72" i="8" s="1"/>
  <c r="G76" i="8"/>
  <c r="G84" i="8"/>
  <c r="I122" i="8"/>
  <c r="J122" i="8" s="1"/>
  <c r="I144" i="8"/>
  <c r="J144" i="8" s="1"/>
  <c r="I150" i="8"/>
  <c r="J150" i="8" s="1"/>
  <c r="J149" i="8" s="1"/>
  <c r="I152" i="8"/>
  <c r="J152" i="8" s="1"/>
  <c r="L21" i="8"/>
  <c r="M21" i="8" s="1"/>
  <c r="I64" i="8"/>
  <c r="J64" i="8" s="1"/>
  <c r="I71" i="8"/>
  <c r="J71" i="8" s="1"/>
  <c r="J68" i="8" s="1"/>
  <c r="I142" i="8"/>
  <c r="J142" i="8" s="1"/>
  <c r="I146" i="8"/>
  <c r="J146" i="8" s="1"/>
  <c r="G124" i="8"/>
  <c r="J134" i="8"/>
  <c r="G16" i="8"/>
  <c r="G155" i="8"/>
  <c r="F109" i="8"/>
  <c r="G109" i="8" s="1"/>
  <c r="G108" i="8" s="1"/>
  <c r="I141" i="8"/>
  <c r="J141" i="8" s="1"/>
  <c r="I145" i="8"/>
  <c r="J145" i="8" s="1"/>
  <c r="G161" i="8"/>
  <c r="A17" i="8"/>
  <c r="A18" i="8" s="1"/>
  <c r="A19" i="8" s="1"/>
  <c r="A20" i="8" s="1"/>
  <c r="A21" i="8" s="1"/>
  <c r="G63" i="8"/>
  <c r="A25" i="8"/>
  <c r="A26" i="8" s="1"/>
  <c r="A27" i="8" s="1"/>
  <c r="A28" i="8" s="1"/>
  <c r="A31" i="8"/>
  <c r="G24" i="8"/>
  <c r="J57" i="8"/>
  <c r="J96" i="8"/>
  <c r="J9" i="8"/>
  <c r="J16" i="8"/>
  <c r="L25" i="8"/>
  <c r="J46" i="8"/>
  <c r="J48" i="8"/>
  <c r="J63" i="8"/>
  <c r="G68" i="8"/>
  <c r="J80" i="8"/>
  <c r="J102" i="8"/>
  <c r="I70" i="8"/>
  <c r="J70" i="8" s="1"/>
  <c r="L70" i="8" s="1"/>
  <c r="M70" i="8" s="1"/>
  <c r="K11" i="8"/>
  <c r="L11" i="8" s="1"/>
  <c r="K12" i="8"/>
  <c r="L12" i="8" s="1"/>
  <c r="M12" i="8" s="1"/>
  <c r="K13" i="8"/>
  <c r="L13" i="8" s="1"/>
  <c r="M13" i="8" s="1"/>
  <c r="K18" i="8"/>
  <c r="L18" i="8" s="1"/>
  <c r="M18" i="8" s="1"/>
  <c r="K26" i="8"/>
  <c r="L26" i="8" s="1"/>
  <c r="M26" i="8" s="1"/>
  <c r="K34" i="8"/>
  <c r="K39" i="8"/>
  <c r="L39" i="8" s="1"/>
  <c r="M39" i="8" s="1"/>
  <c r="K40" i="8"/>
  <c r="L40" i="8" s="1"/>
  <c r="M40" i="8" s="1"/>
  <c r="K41" i="8"/>
  <c r="L41" i="8" s="1"/>
  <c r="M41" i="8" s="1"/>
  <c r="K42" i="8"/>
  <c r="L42" i="8" s="1"/>
  <c r="M42" i="8" s="1"/>
  <c r="K46" i="8"/>
  <c r="K64" i="8"/>
  <c r="L64" i="8" s="1"/>
  <c r="K65" i="8"/>
  <c r="L65" i="8" s="1"/>
  <c r="M65" i="8" s="1"/>
  <c r="K106" i="8"/>
  <c r="G118" i="8"/>
  <c r="G179" i="8" s="1"/>
  <c r="J76" i="8"/>
  <c r="K174" i="8"/>
  <c r="K159" i="8"/>
  <c r="L159" i="8" s="1"/>
  <c r="M159" i="8" s="1"/>
  <c r="K158" i="8"/>
  <c r="K157" i="8"/>
  <c r="L157" i="8" s="1"/>
  <c r="M157" i="8" s="1"/>
  <c r="K156" i="8"/>
  <c r="L156" i="8" s="1"/>
  <c r="K151" i="8"/>
  <c r="L151" i="8" s="1"/>
  <c r="M151" i="8" s="1"/>
  <c r="K150" i="8"/>
  <c r="K146" i="8"/>
  <c r="K181" i="8"/>
  <c r="K178" i="8"/>
  <c r="L178" i="8" s="1"/>
  <c r="M178" i="8" s="1"/>
  <c r="K177" i="8"/>
  <c r="L177" i="8" s="1"/>
  <c r="K145" i="8"/>
  <c r="K141" i="8"/>
  <c r="K128" i="8"/>
  <c r="L128" i="8" s="1"/>
  <c r="M128" i="8" s="1"/>
  <c r="K127" i="8"/>
  <c r="L127" i="8" s="1"/>
  <c r="M127" i="8" s="1"/>
  <c r="K126" i="8"/>
  <c r="L126" i="8" s="1"/>
  <c r="M126" i="8" s="1"/>
  <c r="K125" i="8"/>
  <c r="L125" i="8" s="1"/>
  <c r="K120" i="8"/>
  <c r="K171" i="8"/>
  <c r="L171" i="8" s="1"/>
  <c r="M171" i="8" s="1"/>
  <c r="K170" i="8"/>
  <c r="L170" i="8" s="1"/>
  <c r="M170" i="8" s="1"/>
  <c r="K169" i="8"/>
  <c r="K168" i="8"/>
  <c r="L168" i="8" s="1"/>
  <c r="M168" i="8" s="1"/>
  <c r="K167" i="8"/>
  <c r="L167" i="8" s="1"/>
  <c r="M167" i="8" s="1"/>
  <c r="K166" i="8"/>
  <c r="K165" i="8"/>
  <c r="L165" i="8" s="1"/>
  <c r="M165" i="8" s="1"/>
  <c r="K164" i="8"/>
  <c r="L164" i="8" s="1"/>
  <c r="M164" i="8" s="1"/>
  <c r="K163" i="8"/>
  <c r="K162" i="8"/>
  <c r="K183" i="8"/>
  <c r="K152" i="8"/>
  <c r="L152" i="8" s="1"/>
  <c r="C35" i="10" s="1"/>
  <c r="C37" i="10" s="1"/>
  <c r="K147" i="8"/>
  <c r="L147" i="8" s="1"/>
  <c r="M147" i="8" s="1"/>
  <c r="K143" i="8"/>
  <c r="K131" i="8"/>
  <c r="K122" i="8"/>
  <c r="L122" i="8" s="1"/>
  <c r="M122" i="8" s="1"/>
  <c r="K135" i="8"/>
  <c r="L135" i="8" s="1"/>
  <c r="K138" i="8"/>
  <c r="L138" i="8" s="1"/>
  <c r="M138" i="8" s="1"/>
  <c r="K121" i="8"/>
  <c r="L121" i="8" s="1"/>
  <c r="M121" i="8" s="1"/>
  <c r="K100" i="8"/>
  <c r="L100" i="8" s="1"/>
  <c r="M100" i="8" s="1"/>
  <c r="K98" i="8"/>
  <c r="L98" i="8" s="1"/>
  <c r="M98" i="8" s="1"/>
  <c r="K97" i="8"/>
  <c r="L97" i="8" s="1"/>
  <c r="K82" i="8"/>
  <c r="L82" i="8" s="1"/>
  <c r="M82" i="8" s="1"/>
  <c r="K81" i="8"/>
  <c r="L81" i="8" s="1"/>
  <c r="K74" i="8"/>
  <c r="L74" i="8" s="1"/>
  <c r="M74" i="8" s="1"/>
  <c r="K73" i="8"/>
  <c r="L73" i="8" s="1"/>
  <c r="M73" i="8" s="1"/>
  <c r="K72" i="8"/>
  <c r="L72" i="8" s="1"/>
  <c r="M72" i="8" s="1"/>
  <c r="K142" i="8"/>
  <c r="K137" i="8"/>
  <c r="L137" i="8" s="1"/>
  <c r="M137" i="8" s="1"/>
  <c r="K144" i="8"/>
  <c r="K136" i="8"/>
  <c r="L136" i="8" s="1"/>
  <c r="M136" i="8" s="1"/>
  <c r="K109" i="8"/>
  <c r="K105" i="8"/>
  <c r="L105" i="8" s="1"/>
  <c r="M105" i="8" s="1"/>
  <c r="K104" i="8"/>
  <c r="L104" i="8" s="1"/>
  <c r="M104" i="8" s="1"/>
  <c r="K103" i="8"/>
  <c r="L103" i="8" s="1"/>
  <c r="K94" i="8"/>
  <c r="L94" i="8" s="1"/>
  <c r="M94" i="8" s="1"/>
  <c r="K93" i="8"/>
  <c r="L93" i="8" s="1"/>
  <c r="M93" i="8" s="1"/>
  <c r="K92" i="8"/>
  <c r="L92" i="8" s="1"/>
  <c r="M92" i="8" s="1"/>
  <c r="K91" i="8"/>
  <c r="L91" i="8" s="1"/>
  <c r="M91" i="8" s="1"/>
  <c r="K90" i="8"/>
  <c r="L90" i="8" s="1"/>
  <c r="M90" i="8" s="1"/>
  <c r="K89" i="8"/>
  <c r="L89" i="8" s="1"/>
  <c r="M89" i="8" s="1"/>
  <c r="K88" i="8"/>
  <c r="L88" i="8" s="1"/>
  <c r="M88" i="8" s="1"/>
  <c r="K87" i="8"/>
  <c r="L87" i="8" s="1"/>
  <c r="M87" i="8" s="1"/>
  <c r="K86" i="8"/>
  <c r="L86" i="8" s="1"/>
  <c r="M86" i="8" s="1"/>
  <c r="K85" i="8"/>
  <c r="L85" i="8" s="1"/>
  <c r="K78" i="8"/>
  <c r="L78" i="8" s="1"/>
  <c r="M78" i="8" s="1"/>
  <c r="K77" i="8"/>
  <c r="L77" i="8" s="1"/>
  <c r="K20" i="8"/>
  <c r="L20" i="8" s="1"/>
  <c r="M20" i="8" s="1"/>
  <c r="K28" i="8"/>
  <c r="L28" i="8" s="1"/>
  <c r="M28" i="8" s="1"/>
  <c r="K32" i="8"/>
  <c r="L32" i="8" s="1"/>
  <c r="G37" i="8"/>
  <c r="G31" i="8" s="1"/>
  <c r="K37" i="8"/>
  <c r="L37" i="8" s="1"/>
  <c r="M37" i="8" s="1"/>
  <c r="K49" i="8"/>
  <c r="L49" i="8" s="1"/>
  <c r="K50" i="8"/>
  <c r="L50" i="8" s="1"/>
  <c r="M50" i="8" s="1"/>
  <c r="K51" i="8"/>
  <c r="L51" i="8" s="1"/>
  <c r="M51" i="8" s="1"/>
  <c r="K52" i="8"/>
  <c r="L52" i="8" s="1"/>
  <c r="M52" i="8" s="1"/>
  <c r="K53" i="8"/>
  <c r="L53" i="8" s="1"/>
  <c r="M53" i="8" s="1"/>
  <c r="K54" i="8"/>
  <c r="L54" i="8" s="1"/>
  <c r="M54" i="8" s="1"/>
  <c r="K66" i="8"/>
  <c r="L66" i="8" s="1"/>
  <c r="M66" i="8" s="1"/>
  <c r="K69" i="8"/>
  <c r="L69" i="8" s="1"/>
  <c r="J124" i="8"/>
  <c r="J84" i="8"/>
  <c r="K119" i="8"/>
  <c r="L119" i="8" s="1"/>
  <c r="G134" i="8"/>
  <c r="G140" i="8"/>
  <c r="I143" i="8"/>
  <c r="J143" i="8" s="1"/>
  <c r="J176" i="8"/>
  <c r="J155" i="8"/>
  <c r="L163" i="8"/>
  <c r="M163" i="8" s="1"/>
  <c r="J173" i="8"/>
  <c r="L174" i="8"/>
  <c r="I120" i="8"/>
  <c r="J120" i="8" s="1"/>
  <c r="J118" i="8" s="1"/>
  <c r="L131" i="8"/>
  <c r="L162" i="8"/>
  <c r="J161" i="8"/>
  <c r="L166" i="8"/>
  <c r="M166" i="8" s="1"/>
  <c r="L181" i="8"/>
  <c r="L180" i="8" s="1"/>
  <c r="J180" i="8"/>
  <c r="L144" i="8"/>
  <c r="M144" i="8" s="1"/>
  <c r="L158" i="8"/>
  <c r="M158" i="8" s="1"/>
  <c r="L169" i="8"/>
  <c r="M169" i="8" s="1"/>
  <c r="G176" i="8"/>
  <c r="J31" i="8" l="1"/>
  <c r="L150" i="8"/>
  <c r="L142" i="8"/>
  <c r="M142" i="8" s="1"/>
  <c r="L60" i="8"/>
  <c r="M60" i="8" s="1"/>
  <c r="L34" i="8"/>
  <c r="M34" i="8" s="1"/>
  <c r="L146" i="8"/>
  <c r="M146" i="8" s="1"/>
  <c r="L38" i="8"/>
  <c r="M38" i="8" s="1"/>
  <c r="L145" i="8"/>
  <c r="M145" i="8" s="1"/>
  <c r="L71" i="8"/>
  <c r="M71" i="8" s="1"/>
  <c r="M152" i="8"/>
  <c r="L33" i="8"/>
  <c r="M33" i="8" s="1"/>
  <c r="L149" i="8"/>
  <c r="L27" i="8"/>
  <c r="M27" i="8" s="1"/>
  <c r="I109" i="8"/>
  <c r="J109" i="8" s="1"/>
  <c r="J108" i="8" s="1"/>
  <c r="M180" i="8"/>
  <c r="N180" i="8" s="1"/>
  <c r="L143" i="8"/>
  <c r="M143" i="8" s="1"/>
  <c r="L141" i="8"/>
  <c r="M141" i="8" s="1"/>
  <c r="L120" i="8"/>
  <c r="M120" i="8" s="1"/>
  <c r="L48" i="8"/>
  <c r="M49" i="8"/>
  <c r="M85" i="8"/>
  <c r="L84" i="8"/>
  <c r="L134" i="8"/>
  <c r="M135" i="8"/>
  <c r="L176" i="8"/>
  <c r="M176" i="8" s="1"/>
  <c r="M177" i="8"/>
  <c r="M150" i="8"/>
  <c r="M81" i="8"/>
  <c r="L80" i="8"/>
  <c r="M80" i="8" s="1"/>
  <c r="M11" i="8"/>
  <c r="L9" i="8"/>
  <c r="C8" i="10" s="1"/>
  <c r="G183" i="8"/>
  <c r="G62" i="8"/>
  <c r="M77" i="8"/>
  <c r="L76" i="8"/>
  <c r="M76" i="8" s="1"/>
  <c r="M103" i="8"/>
  <c r="L102" i="8"/>
  <c r="M125" i="8"/>
  <c r="L124" i="8"/>
  <c r="M124" i="8" s="1"/>
  <c r="M156" i="8"/>
  <c r="L155" i="8"/>
  <c r="M64" i="8"/>
  <c r="L63" i="8"/>
  <c r="M174" i="8"/>
  <c r="L173" i="8"/>
  <c r="M58" i="8"/>
  <c r="L57" i="8"/>
  <c r="M57" i="8" s="1"/>
  <c r="J140" i="8"/>
  <c r="M131" i="8"/>
  <c r="L130" i="8"/>
  <c r="M25" i="8"/>
  <c r="M97" i="8"/>
  <c r="L96" i="8"/>
  <c r="M32" i="8"/>
  <c r="M162" i="8"/>
  <c r="L161" i="8"/>
  <c r="M119" i="8"/>
  <c r="M69" i="8"/>
  <c r="A45" i="8"/>
  <c r="A32" i="8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L46" i="8"/>
  <c r="J45" i="8"/>
  <c r="J183" i="8" s="1"/>
  <c r="L16" i="8"/>
  <c r="M17" i="8"/>
  <c r="L118" i="8" l="1"/>
  <c r="C20" i="10" s="1"/>
  <c r="L24" i="8"/>
  <c r="M24" i="8" s="1"/>
  <c r="L31" i="8"/>
  <c r="M31" i="8" s="1"/>
  <c r="L140" i="8"/>
  <c r="C23" i="10" s="1"/>
  <c r="L68" i="8"/>
  <c r="M68" i="8" s="1"/>
  <c r="L109" i="8"/>
  <c r="N183" i="8"/>
  <c r="M149" i="8"/>
  <c r="C25" i="10"/>
  <c r="M134" i="8"/>
  <c r="C26" i="10"/>
  <c r="M48" i="8"/>
  <c r="C14" i="10"/>
  <c r="C10" i="10"/>
  <c r="M63" i="8"/>
  <c r="C16" i="10"/>
  <c r="M102" i="8"/>
  <c r="C13" i="10"/>
  <c r="M84" i="8"/>
  <c r="C19" i="10"/>
  <c r="M161" i="8"/>
  <c r="C18" i="10"/>
  <c r="M96" i="8"/>
  <c r="C22" i="10"/>
  <c r="M130" i="8"/>
  <c r="C24" i="10"/>
  <c r="M16" i="8"/>
  <c r="M173" i="8"/>
  <c r="C27" i="10"/>
  <c r="M155" i="8"/>
  <c r="C21" i="10"/>
  <c r="M118" i="8"/>
  <c r="M140" i="8"/>
  <c r="M46" i="8"/>
  <c r="L45" i="8"/>
  <c r="A46" i="8"/>
  <c r="A48" i="8"/>
  <c r="M9" i="8"/>
  <c r="C9" i="10" l="1"/>
  <c r="M109" i="8"/>
  <c r="L108" i="8"/>
  <c r="M45" i="8"/>
  <c r="C11" i="10"/>
  <c r="A49" i="8"/>
  <c r="A50" i="8" s="1"/>
  <c r="A51" i="8" s="1"/>
  <c r="A52" i="8" s="1"/>
  <c r="A53" i="8" s="1"/>
  <c r="A54" i="8" s="1"/>
  <c r="A57" i="8"/>
  <c r="C17" i="10" l="1"/>
  <c r="C29" i="10" s="1"/>
  <c r="C39" i="10" s="1"/>
  <c r="L183" i="8"/>
  <c r="M108" i="8"/>
  <c r="M183" i="8"/>
  <c r="A63" i="8"/>
  <c r="A58" i="8"/>
  <c r="A59" i="8" s="1"/>
  <c r="A60" i="8" s="1"/>
  <c r="A64" i="8" l="1"/>
  <c r="A65" i="8" s="1"/>
  <c r="A66" i="8" s="1"/>
  <c r="A68" i="8"/>
  <c r="A76" i="8" l="1"/>
  <c r="A69" i="8"/>
  <c r="A70" i="8" s="1"/>
  <c r="A71" i="8" s="1"/>
  <c r="A72" i="8" s="1"/>
  <c r="A73" i="8" s="1"/>
  <c r="A74" i="8" s="1"/>
  <c r="A80" i="8" l="1"/>
  <c r="A77" i="8"/>
  <c r="A78" i="8" s="1"/>
  <c r="A84" i="8" l="1"/>
  <c r="A81" i="8"/>
  <c r="A82" i="8" s="1"/>
  <c r="A96" i="8" l="1"/>
  <c r="A85" i="8"/>
  <c r="A86" i="8" s="1"/>
  <c r="A87" i="8" s="1"/>
  <c r="A88" i="8" s="1"/>
  <c r="A89" i="8" s="1"/>
  <c r="A90" i="8" s="1"/>
  <c r="A91" i="8" s="1"/>
  <c r="A92" i="8" s="1"/>
  <c r="A93" i="8" s="1"/>
  <c r="A94" i="8" s="1"/>
  <c r="A102" i="8" l="1"/>
  <c r="A97" i="8"/>
  <c r="A98" i="8" s="1"/>
  <c r="A99" i="8" s="1"/>
  <c r="A100" i="8" s="1"/>
  <c r="A108" i="8" l="1"/>
  <c r="A103" i="8"/>
  <c r="A104" i="8" s="1"/>
  <c r="A105" i="8" s="1"/>
  <c r="A106" i="8" s="1"/>
  <c r="A118" i="8" l="1"/>
  <c r="A109" i="8"/>
  <c r="A124" i="8" l="1"/>
  <c r="A119" i="8"/>
  <c r="A120" i="8" s="1"/>
  <c r="A121" i="8" s="1"/>
  <c r="A122" i="8" s="1"/>
  <c r="A130" i="8" l="1"/>
  <c r="A125" i="8"/>
  <c r="A126" i="8" s="1"/>
  <c r="A127" i="8" s="1"/>
  <c r="A128" i="8" s="1"/>
  <c r="A131" i="8" l="1"/>
  <c r="A134" i="8"/>
  <c r="A135" i="8" l="1"/>
  <c r="A136" i="8" s="1"/>
  <c r="A137" i="8" s="1"/>
  <c r="A138" i="8" s="1"/>
  <c r="A140" i="8"/>
  <c r="A149" i="8" l="1"/>
  <c r="A141" i="8"/>
  <c r="A142" i="8" s="1"/>
  <c r="A143" i="8" s="1"/>
  <c r="A144" i="8" s="1"/>
  <c r="A145" i="8" s="1"/>
  <c r="A146" i="8" s="1"/>
  <c r="A147" i="8" s="1"/>
  <c r="A155" i="8" l="1"/>
  <c r="A150" i="8"/>
  <c r="A151" i="8" s="1"/>
  <c r="A152" i="8" s="1"/>
  <c r="A161" i="8" l="1"/>
  <c r="A156" i="8"/>
  <c r="A157" i="8" s="1"/>
  <c r="A158" i="8" s="1"/>
  <c r="A159" i="8" s="1"/>
  <c r="A173" i="8" l="1"/>
  <c r="A162" i="8"/>
  <c r="A163" i="8" s="1"/>
  <c r="A164" i="8" s="1"/>
  <c r="A165" i="8" s="1"/>
  <c r="A166" i="8" s="1"/>
  <c r="A167" i="8" s="1"/>
  <c r="A168" i="8" s="1"/>
  <c r="A169" i="8" s="1"/>
  <c r="A170" i="8" s="1"/>
  <c r="A171" i="8" s="1"/>
  <c r="A176" i="8" l="1"/>
  <c r="A174" i="8"/>
  <c r="A180" i="8" l="1"/>
  <c r="A181" i="8" s="1"/>
  <c r="A177" i="8"/>
  <c r="A178" i="8" s="1"/>
</calcChain>
</file>

<file path=xl/sharedStrings.xml><?xml version="1.0" encoding="utf-8"?>
<sst xmlns="http://schemas.openxmlformats.org/spreadsheetml/2006/main" count="452" uniqueCount="262">
  <si>
    <t>Referencia:</t>
  </si>
  <si>
    <t>Notas:</t>
  </si>
  <si>
    <t>Higiene y Seguridad en el Trabajo; incluye elaboración de plan y/o programa H.y S., coordinación y supervisión documentación, y entrega de elementos protección personal de obra. Visitas semanales.</t>
  </si>
  <si>
    <t>R</t>
  </si>
  <si>
    <t>SEGURIDAD E HIGIENE</t>
  </si>
  <si>
    <t>Limpieza de obra final. Se deberá mantener la limpieza diaria en espacios comúnes en horarios laborales.</t>
  </si>
  <si>
    <t>Limpieza de obra diaria. Incluye embolsado de escombros y protección de áreas comúnes</t>
  </si>
  <si>
    <t>LIMPIEZA DE OBRA</t>
  </si>
  <si>
    <t>M09 - Office</t>
  </si>
  <si>
    <t>M08 - Office</t>
  </si>
  <si>
    <t>M07b - Office</t>
  </si>
  <si>
    <t>M07 - Office EP</t>
  </si>
  <si>
    <t>M06 - Guardado Rack</t>
  </si>
  <si>
    <t>M05 - Guardado</t>
  </si>
  <si>
    <t>M04 - Guardado tablero</t>
  </si>
  <si>
    <t>M03 - Mesada Office</t>
  </si>
  <si>
    <t>M02 - Office</t>
  </si>
  <si>
    <t>M01 - Coffe</t>
  </si>
  <si>
    <t>MUEBLES ESPECIALES</t>
  </si>
  <si>
    <t>Logos corpóreos; en MDF con pintura laqueada</t>
  </si>
  <si>
    <t>Vinilos de impresión para frentes de ascensores para aplicar sobre tabique existentes</t>
  </si>
  <si>
    <t>Vinilos microperforados en frentes vidriados de ingresos</t>
  </si>
  <si>
    <t>Vinilos esmerilado sobre frente vidriado</t>
  </si>
  <si>
    <t>GRÁFICA Y SEÑALIZACIÓN</t>
  </si>
  <si>
    <t>INSTALACIÓN DE AIRE ACONDICIONADO Y CALEFACCIÓN</t>
  </si>
  <si>
    <t>Mano de obra de conexionado</t>
  </si>
  <si>
    <t>Sirena con luz estroboscópica, 24 volts, roja o blanca, montaje de pared, 15, 15/75, 30, 75 o 110 candelas.</t>
  </si>
  <si>
    <t>Avisador manual direccionable de doble acción c/registro de operación.</t>
  </si>
  <si>
    <t>Base universal p/detectores direccionables y analógicos de bajo perfil con módulo de aislación incorporado.</t>
  </si>
  <si>
    <t>Base universal p/detectores direccionables y analógicos de bajo perfil.</t>
  </si>
  <si>
    <t>Detector óptico de humo direccionable y analógico de bajo perfil.</t>
  </si>
  <si>
    <t>Plaqueta lazo para 159 detectores más 159 módulos para centrales NFS-640 y NFS-3030.</t>
  </si>
  <si>
    <t>INSTALACIÓN DETECCIÓN DE INCENCIO</t>
  </si>
  <si>
    <t>Square led 30x30 de aplicar en EP</t>
  </si>
  <si>
    <t>Artefacto Mabe en pasillos según detalle de plano</t>
  </si>
  <si>
    <t>Colgantes TASSO lineales 2x54w en PB</t>
  </si>
  <si>
    <t>Artefacto estanco en cuartos de cableado</t>
  </si>
  <si>
    <t>ARTEFACTOS DE ILUMINACIÓN</t>
  </si>
  <si>
    <t>NOTA: Se deberán anular los rociadores del 4º piso</t>
  </si>
  <si>
    <t>Ejecución de instalación de extinción de incendio. Incluye corrimientos y nuevos rociadores.</t>
  </si>
  <si>
    <t>INSTALACIÓN DE EXTINCIÓN DE INCENDIO</t>
  </si>
  <si>
    <t>Descarga cromada</t>
  </si>
  <si>
    <t>Grifería para bacha de coffe</t>
  </si>
  <si>
    <t>Termotanque eléctrico de de 55l de pie para bajomesada</t>
  </si>
  <si>
    <t xml:space="preserve">Bacha simple de acero inoxidable </t>
  </si>
  <si>
    <t>ARTEFACTOS SANITARIOS Y GRIFERÍAS</t>
  </si>
  <si>
    <t>Desague para nuevos equipos de aire</t>
  </si>
  <si>
    <t>Instalación de termotanque</t>
  </si>
  <si>
    <t>Instalación de artefactos sanitarios (incluye accesorios) en comedores y office de piso</t>
  </si>
  <si>
    <t>Instalación de agua para dispensers</t>
  </si>
  <si>
    <t>INSTALACIÓN SANITARIA</t>
  </si>
  <si>
    <t>Granito GRIS MARA, espesor 20mm  ( Incluye provisión de material y colocación ), zócalos, pollera y ménsulas.</t>
  </si>
  <si>
    <t>MESADAS</t>
  </si>
  <si>
    <t>Tope de piso</t>
  </si>
  <si>
    <t xml:space="preserve">Puerta standard simple con pivot y schlage, en cristal float incoloro 10 mm templado, incluye herrajes bronce platil </t>
  </si>
  <si>
    <t xml:space="preserve">Puerta standard simple con caja de freno y manijón, en cristal float incoloro 10 mm templado, incluye herrajes bronce platil </t>
  </si>
  <si>
    <t>Frente de cristal float templado incoloro, 10mm, con perfil "U" perimetral de aluminio anodizado 15 x 40 mm</t>
  </si>
  <si>
    <t>CRISTALES</t>
  </si>
  <si>
    <t>Puerta F60 para data center. Incluye refuerzos verticales 40x40</t>
  </si>
  <si>
    <t>Tubo 70x70 para soporte de divisorio móvil</t>
  </si>
  <si>
    <t>Provisión y colocaciòn de Puerta de chapa inyectada doble contacto, c/ visor, antipánico y doble cerradura- Incluye pañofijo superior (1mx3m)</t>
  </si>
  <si>
    <t>Refuerzo p/soporte puerta blindex; caño estructural hierro 60x60 ó 70x70 ó 70x30mm sobre cielorraso, abulonado a losa Hº Aº, con una mano de convertidor de óxido ( provisión y colocación )</t>
  </si>
  <si>
    <t>HERRERIA</t>
  </si>
  <si>
    <t>Pintura en marcos y puertas placa nuevas</t>
  </si>
  <si>
    <t>Pintura anticondensante en conductos a la vista en EP</t>
  </si>
  <si>
    <t>Pintura y sellado de zócalos</t>
  </si>
  <si>
    <t>Preparación y pintado de muros y tabiques existentes</t>
  </si>
  <si>
    <t>Preparación y pintado columnas existentes</t>
  </si>
  <si>
    <t>Preparación y pintado de muros y tabiques con látex común, mediante sistema tintométrico, hasta 3,20m altura.</t>
  </si>
  <si>
    <t>Preparación y pintado de muros y tabiques con látex común, hasta 3,20m altura</t>
  </si>
  <si>
    <t xml:space="preserve">Preparación y pintado de cielorraso con látex común, hasta 3,20m altura. </t>
  </si>
  <si>
    <t>Preparación y pintado de losa a la vista (en EP y PB)</t>
  </si>
  <si>
    <t>Emprolijado de losa de Hº para posterior pintado</t>
  </si>
  <si>
    <t>PINTURA</t>
  </si>
  <si>
    <t>Angulo de aluminio anodizado</t>
  </si>
  <si>
    <t>Zócalo MDF para pintar, de 1/2" x 3" ó 4" ( provisión, corte y colocación )</t>
  </si>
  <si>
    <t>ZÓCALOS</t>
  </si>
  <si>
    <t>Nivelación de piso técnico existente</t>
  </si>
  <si>
    <t>Cortes, calados y perforaciones</t>
  </si>
  <si>
    <t>PISOS TÉCNICOS</t>
  </si>
  <si>
    <t>Instalacion piso vinilico en rollo para PB y EP</t>
  </si>
  <si>
    <t>Piso vinilico en Rollo para PB y EP</t>
  </si>
  <si>
    <t>Instalación de piso de goma encastrable</t>
  </si>
  <si>
    <t>Piso de goma encastrable en Data Center, esp.: 3 mm</t>
  </si>
  <si>
    <t>PISOS VINÍLICOS / LINOLEUM / PVC / GOMA</t>
  </si>
  <si>
    <t>Varillas de únion solados</t>
  </si>
  <si>
    <t>Instalación de alfombra modular</t>
  </si>
  <si>
    <t>PISOS ALFOMBRADOS</t>
  </si>
  <si>
    <t xml:space="preserve">NOTA: 
* No se considera cielorrasos en PB y entrepiso.
</t>
  </si>
  <si>
    <t>Reposición de perfil "T"</t>
  </si>
  <si>
    <t>Reposición de perfil perimetral "L"</t>
  </si>
  <si>
    <t>Desarme y recolocación de cielorraso modular existente; incluye la recuperación de placas , no así la reposición</t>
  </si>
  <si>
    <t>CIELORRASO MODULAR</t>
  </si>
  <si>
    <t>NOTA: 
* No se considera intervención de cielorrasos en PB, EP</t>
  </si>
  <si>
    <t>Perfil buña Z</t>
  </si>
  <si>
    <t>Perforación 20x20cm artefacto dulux</t>
  </si>
  <si>
    <t>Perforación 10x10cm artefacto iluminación y/o sprinkler</t>
  </si>
  <si>
    <t>Refuerzo de madera de 1" x 2"</t>
  </si>
  <si>
    <t>Cielorraso contínuo</t>
  </si>
  <si>
    <t>Banda de ajuste hasta 0,60m</t>
  </si>
  <si>
    <t>CIELORRASO EN PLACA DE ROCA DE YESO</t>
  </si>
  <si>
    <t>NOTA: 
* Considerar tabiques hasta la losa, minimizando los sonidos entre locales.
* Considerar estructura doble y refuerzos en PB debido a la doble altura</t>
  </si>
  <si>
    <t>Aislación lana vidrio liviana; panel rígido lana vidrio, espesor 50mm.</t>
  </si>
  <si>
    <t>Refuerzo de madera 1"x2"</t>
  </si>
  <si>
    <t>Refuerzo de madera, tipo fenólico, en interior de tabiquería de placa de roca de yeso, medidas 0,40 x 1,00 m, para refuerzos por fijación de ménsulas, barrales, accesorios, artefactos sanitarios, alacenas de cocinas, etc.</t>
  </si>
  <si>
    <t>Povision y colocación de puerta simple con marco de chapa para pintar, incluye refuerzo madera. Incluye puerta en data centers y cuarto de cableado</t>
  </si>
  <si>
    <t>Cantonera en arista ( provisión y colocación )</t>
  </si>
  <si>
    <t>Tapacanto de placa standard de 12,5mm</t>
  </si>
  <si>
    <t>Encuentro entre tabique y curtain wall</t>
  </si>
  <si>
    <t>Sobretabique placa simple ambas caras</t>
  </si>
  <si>
    <t>Tabique de dos caras 0,10 m esp. placa ignífuga 12,5 mm</t>
  </si>
  <si>
    <t>Tabique de dos caras mixto  0,10 m esp. placa hidrófuga</t>
  </si>
  <si>
    <t>Tabique de dos caras 0,10 m esp. placa standard 12,5 mm</t>
  </si>
  <si>
    <t>TABIQUES DE PLACA DE ROCA DE YESO</t>
  </si>
  <si>
    <t>NOTA: No se considera provisión y ciolocación de porcelanato en palieres</t>
  </si>
  <si>
    <t>Ayuda de gremios</t>
  </si>
  <si>
    <t>Capa niveladora</t>
  </si>
  <si>
    <t>Demolición de muros de mampostería en PB, apertura de vano, recuadro y colocación de carpintería.</t>
  </si>
  <si>
    <t>Ejecución de carpeta</t>
  </si>
  <si>
    <t>ALBAÑILERÍA</t>
  </si>
  <si>
    <t>NOTA:
* Se deberá contemplar el embolsado de escombros y materiales para el izaje. 
* Se contemplaran las protecciones y limpieza diaria en áreas comunes del edificio</t>
  </si>
  <si>
    <t>Mano de obra para carga y descarga de volquete</t>
  </si>
  <si>
    <t>Contratacion por alquiler de volquete.</t>
  </si>
  <si>
    <t>Desmonte de puerta de blindex (1mx3m) sobre calle Humberto 1º</t>
  </si>
  <si>
    <t>Canalizaciones para instalación eléctrica (incluye tapado)</t>
  </si>
  <si>
    <t>DEMOLICIÓN</t>
  </si>
  <si>
    <t>Escaleras y andamios tubulares</t>
  </si>
  <si>
    <t>Acarreo y fletes</t>
  </si>
  <si>
    <t>Matafuegos reglamentarios</t>
  </si>
  <si>
    <t>Protecciones para interiores ( cercos, nylon y cartón corrugado )</t>
  </si>
  <si>
    <t>Replanteo</t>
  </si>
  <si>
    <t>PRELIMINARES</t>
  </si>
  <si>
    <t>P. Total</t>
  </si>
  <si>
    <t>O/A</t>
  </si>
  <si>
    <t>Descripción</t>
  </si>
  <si>
    <t>Rubro-Ítem</t>
  </si>
  <si>
    <r>
      <t>O</t>
    </r>
    <r>
      <rPr>
        <sz val="10"/>
        <rFont val="Arial"/>
        <family val="2"/>
      </rPr>
      <t>: Ítem opcional. No computa en el presupuesto. De ser ejecutados los mismos  se  deben  sumar  al  presupuesto con sus respectivos gastos generales y beneficio</t>
    </r>
  </si>
  <si>
    <r>
      <t>A</t>
    </r>
    <r>
      <rPr>
        <sz val="10"/>
        <rFont val="Arial"/>
        <family val="2"/>
      </rPr>
      <t>: Ítem alternativo. No computa en el presupuesto. De ser ejecutados los mismos  se  deben  sumar  al  presupuesto con sus respectivos gastos generales y beneficio</t>
    </r>
  </si>
  <si>
    <t>Los precios del presente presupuesto incluyen el IVA</t>
  </si>
  <si>
    <t>c/dto. Comerc</t>
  </si>
  <si>
    <t>Cant.</t>
  </si>
  <si>
    <t>UM</t>
  </si>
  <si>
    <t>P. Unit.</t>
  </si>
  <si>
    <t>GL</t>
  </si>
  <si>
    <t>M2</t>
  </si>
  <si>
    <t>ML</t>
  </si>
  <si>
    <t>UN</t>
  </si>
  <si>
    <t>DÓLAR</t>
  </si>
  <si>
    <t>MARCA</t>
  </si>
  <si>
    <t>Bonificado</t>
  </si>
  <si>
    <t xml:space="preserve">* Moneda en pesos argentinos
* El presupuesto no incluye permisos, tramitaciones, firma de planos, gestiones; ante entes nacionales, provinciales, municipales y/o empresas de servicios
* No incluye trabajos en instalaciones y/o conexiones generales y/o existentes del edificio
* Garantía de un año
* El presupuesto aplica exclusivamente a los rubros e ítems listados en el mismo
* No se incluye montantes eléctricas nuevas, desde sala de medidores del edificio hasta el piso de la obra de la referencia
* No se incluye servicio de mudanza.
</t>
  </si>
  <si>
    <t>Plazo de Entrega:</t>
  </si>
  <si>
    <t>* El Plazo de Obra es en 90 días corridos.</t>
  </si>
  <si>
    <t>Forma de Pago:</t>
  </si>
  <si>
    <t>A convenir</t>
  </si>
  <si>
    <t>Arq. Juan Pablo Santilli</t>
  </si>
  <si>
    <t>Contract Workplaces</t>
  </si>
  <si>
    <t>MES</t>
  </si>
  <si>
    <t>U</t>
  </si>
  <si>
    <t>Incluido</t>
  </si>
  <si>
    <t>M1</t>
  </si>
  <si>
    <t>I</t>
  </si>
  <si>
    <t>Gl</t>
  </si>
  <si>
    <t>PROVEEDOR</t>
  </si>
  <si>
    <t>Me02</t>
  </si>
  <si>
    <t>Me07</t>
  </si>
  <si>
    <t>Me03</t>
  </si>
  <si>
    <t>Me07b</t>
  </si>
  <si>
    <t>Me08</t>
  </si>
  <si>
    <t>Me09</t>
  </si>
  <si>
    <t>X</t>
  </si>
  <si>
    <t>PLOTERJET</t>
  </si>
  <si>
    <t>PREFEMAR</t>
  </si>
  <si>
    <t>IM CRISTALES</t>
  </si>
  <si>
    <t>FAUNA</t>
  </si>
  <si>
    <t>CONTRACT</t>
  </si>
  <si>
    <t>OSPITAL</t>
  </si>
  <si>
    <t>GHALU</t>
  </si>
  <si>
    <t>VARIOS</t>
  </si>
  <si>
    <t>FERVI</t>
  </si>
  <si>
    <t>ARSEC</t>
  </si>
  <si>
    <t>INLCUIDO</t>
  </si>
  <si>
    <t>TOT. DURLOCK</t>
  </si>
  <si>
    <t>FYG</t>
  </si>
  <si>
    <t>LD INGENIERIA</t>
  </si>
  <si>
    <t>MAFFEI</t>
  </si>
  <si>
    <t>TOTAL M2D</t>
  </si>
  <si>
    <t>EL ESPARTANO</t>
  </si>
  <si>
    <t>TAUGEN</t>
  </si>
  <si>
    <t>SOTEC</t>
  </si>
  <si>
    <t xml:space="preserve">Provisión de alfombra modular </t>
  </si>
  <si>
    <t>(INDELVAL / LA EUROPEA / EL ESPARTANO)</t>
  </si>
  <si>
    <t>Cliente: G.C.B.A. - Lima 1111, C.A.B.A.</t>
  </si>
  <si>
    <r>
      <t xml:space="preserve">Obra: </t>
    </r>
    <r>
      <rPr>
        <sz val="10"/>
        <color theme="1"/>
        <rFont val="Century Gothic"/>
        <family val="2"/>
      </rPr>
      <t>PB, EP, Piso 4º, 5º, 6º y 12º</t>
    </r>
  </si>
  <si>
    <t>P. Total C/IVA</t>
  </si>
  <si>
    <t>Tabique divisorios de Alutecnic</t>
  </si>
  <si>
    <t>INCLUIDO</t>
  </si>
  <si>
    <t>DIVISORIOS MOVILES</t>
  </si>
  <si>
    <t>Piso vinilico en listones para Coffes. Esp. 3 mm</t>
  </si>
  <si>
    <t>ALUTECNIC</t>
  </si>
  <si>
    <t>TIENDA DE LUZ</t>
  </si>
  <si>
    <t>AILACION LANA DE VIDRIO</t>
  </si>
  <si>
    <t>Instalacion piso vinilico en listones. Incluye MDF</t>
  </si>
  <si>
    <t>ANEXO 1</t>
  </si>
  <si>
    <t>PLANILLA DE COTIZACIÓN</t>
  </si>
  <si>
    <t xml:space="preserve">PUNTO </t>
  </si>
  <si>
    <t>DESCRIPCIÓN</t>
  </si>
  <si>
    <t>PRECIO</t>
  </si>
  <si>
    <t>3.3</t>
  </si>
  <si>
    <t>TAREAS PRELIMINARES</t>
  </si>
  <si>
    <t>3.4</t>
  </si>
  <si>
    <t>ALBAÑILERÍA GENERAL Y DEMOLICIONES</t>
  </si>
  <si>
    <t>3.5</t>
  </si>
  <si>
    <t>TABIQUERÍA LIVIANA</t>
  </si>
  <si>
    <t>3.6</t>
  </si>
  <si>
    <t>AISLAMIENTOS ACÚSTICOS</t>
  </si>
  <si>
    <t>3.7</t>
  </si>
  <si>
    <t>REVOQUES</t>
  </si>
  <si>
    <t>3.8</t>
  </si>
  <si>
    <t>REVESTIMIENTOS</t>
  </si>
  <si>
    <t>3.9</t>
  </si>
  <si>
    <t>CIELORRASOS</t>
  </si>
  <si>
    <t>3.10</t>
  </si>
  <si>
    <t>CONTRAPISOS, CARPETAS Y BANQUINAS</t>
  </si>
  <si>
    <t>3.11</t>
  </si>
  <si>
    <t>SOLADOS, SOLIAS Y ZÓCALOS</t>
  </si>
  <si>
    <t>3.12</t>
  </si>
  <si>
    <t>MARMOLES Y GRANITOS</t>
  </si>
  <si>
    <t>3.13</t>
  </si>
  <si>
    <t>CARPINTERÍAS</t>
  </si>
  <si>
    <t>3.14</t>
  </si>
  <si>
    <t>3.15</t>
  </si>
  <si>
    <t>INSTALACIÓN SANITARIA Y ARTEFACTOS, GRIFERÍAS Y ACCESORIOS</t>
  </si>
  <si>
    <t>3.16</t>
  </si>
  <si>
    <t>TAREAS COMPLEMENTARIAS</t>
  </si>
  <si>
    <t>3.16.1</t>
  </si>
  <si>
    <t>HERRERÍA</t>
  </si>
  <si>
    <t>3.16.2</t>
  </si>
  <si>
    <t>Instalación de detección de incendio</t>
  </si>
  <si>
    <t>3.16.3</t>
  </si>
  <si>
    <t>Instalación de extinción de incendio</t>
  </si>
  <si>
    <t>3.16.4</t>
  </si>
  <si>
    <t>3.16.5</t>
  </si>
  <si>
    <t>Artefactos de iluminación</t>
  </si>
  <si>
    <t>3.16.6</t>
  </si>
  <si>
    <t>Divisorios móviles</t>
  </si>
  <si>
    <t>PRECIO TOTAL DE LA OFERTA</t>
  </si>
  <si>
    <t>COREL</t>
  </si>
  <si>
    <t>Desmontes varios</t>
  </si>
  <si>
    <t>COREL / LA EUROP</t>
  </si>
  <si>
    <t>FYG Y COREL</t>
  </si>
  <si>
    <t>I.V.A.</t>
  </si>
  <si>
    <r>
      <t xml:space="preserve">Presupuesto: </t>
    </r>
    <r>
      <rPr>
        <sz val="10"/>
        <color theme="1"/>
        <rFont val="Century Gothic"/>
        <family val="2"/>
      </rPr>
      <t>V2</t>
    </r>
  </si>
  <si>
    <r>
      <t xml:space="preserve">Fecha: </t>
    </r>
    <r>
      <rPr>
        <sz val="10"/>
        <color theme="1"/>
        <rFont val="Century Gothic"/>
        <family val="2"/>
      </rPr>
      <t>15-12-2016</t>
    </r>
  </si>
  <si>
    <t xml:space="preserve">3.16.4 </t>
  </si>
  <si>
    <t>A</t>
  </si>
  <si>
    <t>Agregado de equipos LG sistema VRF de Heat Recovery para PB (cant. 2 un de 9.000Frig/h), 4to (cant. 2 un, de 3.700Frig/h y 4.500Frig/h), 5to (cant. 2 un, de 2.200Frig/h y 3.000Frig/h) y 6to (cant. 1 un de 3.000Frig/h),  para cubrir las capacidades de refrigeración necesarias, de acuerdo al layout definitivo y un balance a confirmar.</t>
  </si>
  <si>
    <t xml:space="preserve">NOTA: Se deberá presentar el balance térmico definitivo  </t>
  </si>
  <si>
    <t>Provisión e Instalación de un equipo piso techo de 3TR con control de condensación para un sistema VRV en el Data Center</t>
  </si>
  <si>
    <t>Readecuación de la instalación existente en PB, EP, 4º, 5º Y 6º. Se considera que el piso 12 será entregado conforme al nuevo layout. Se incluye la modificación y agregado de  conductos de chapa galvanizada y conductos flexibles  que circularán por el interior del cielorraso y se acoplaran a la instalación existente. Incluye: La reubicación, el suministro y la instalación de  alimentación y retorno fabricados en chapa de hierro DD con regulación, marca Ritrac, Titus, o similar. Se prevé el cambio de los conductos existentes en PB por nuevos conductos similares alos instalado en oficinas de Parque Lezama (sistema Climaver)</t>
  </si>
  <si>
    <t>Instalación de aire acondicionado y calefacción.                                                                                          Provisión e Instalación de sistema VRV en el Data Center                                               Readecuación de la instalación existente en PB, EP, 4º, 5º Y 6º. Se considera que el piso 12 será entregado conforme al nuevo layout. Se incluye la modificación y agregado de  conductos de chapa galvanizada y conductos flexibles  que circularán por el interior del cielorraso y se acoplaran a la instalación existente. Incluye: La reubicación, el suministro y la instalación de  alimentación y retorno fabricados en chapa de hierro DD con regulación, marca Ritrac, Titus, o similar.  Se prevé el cambio de los conductos existentes en PB por nuevos conductos similares alos instalado en oficinas de Parque Lezama (sistema Climaver)</t>
  </si>
  <si>
    <t>OPCIONALES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</si>
</sst>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$&quot;\ * #,##0.00_ ;_ &quot;$&quot;\ * \-#,##0.00_ ;_ &quot;$&quot;\ * &quot;-&quot;??_ ;_ @_ "/>
    <numFmt numFmtId="164" formatCode="&quot;$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entury Gothic"/>
      <family val="2"/>
    </font>
    <font>
      <sz val="10"/>
      <name val="Century Gothic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sz val="11"/>
      <name val="Century Gothic"/>
      <family val="2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entury Gothic"/>
      <family val="2"/>
    </font>
    <font>
      <sz val="10"/>
      <color rgb="FFFF0000"/>
      <name val="Century Gothic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entury Gothic"/>
      <family val="2"/>
    </font>
    <font>
      <sz val="10"/>
      <color rgb="FFFF0000"/>
      <name val="Arial"/>
      <family val="2"/>
    </font>
    <font>
      <b/>
      <sz val="10"/>
      <color theme="2" tint="-9.9978637043366805E-2"/>
      <name val="Century Gothic"/>
      <family val="2"/>
    </font>
    <font>
      <sz val="10"/>
      <color theme="0" tint="-0.34998626667073579"/>
      <name val="Century Gothic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0" xfId="0" applyFont="1" applyFill="1" applyBorder="1"/>
    <xf numFmtId="2" fontId="6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2" fillId="2" borderId="0" xfId="0" applyFont="1" applyFill="1" applyBorder="1"/>
    <xf numFmtId="44" fontId="2" fillId="0" borderId="0" xfId="1" applyFont="1" applyFill="1" applyAlignment="1">
      <alignment vertical="center"/>
    </xf>
    <xf numFmtId="44" fontId="2" fillId="0" borderId="0" xfId="1" applyFont="1" applyFill="1"/>
    <xf numFmtId="44" fontId="2" fillId="2" borderId="0" xfId="1" applyFont="1" applyFill="1"/>
    <xf numFmtId="44" fontId="2" fillId="0" borderId="0" xfId="1" applyFont="1" applyFill="1" applyBorder="1"/>
    <xf numFmtId="44" fontId="2" fillId="0" borderId="2" xfId="1" applyFont="1" applyFill="1" applyBorder="1" applyAlignment="1">
      <alignment vertical="center"/>
    </xf>
    <xf numFmtId="0" fontId="13" fillId="0" borderId="1" xfId="0" applyFont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2" fontId="14" fillId="0" borderId="0" xfId="0" applyNumberFormat="1" applyFont="1" applyAlignment="1">
      <alignment horizontal="center" vertical="center"/>
    </xf>
    <xf numFmtId="2" fontId="4" fillId="4" borderId="0" xfId="0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center" vertical="center"/>
    </xf>
    <xf numFmtId="44" fontId="14" fillId="4" borderId="0" xfId="1" applyFont="1" applyFill="1" applyAlignment="1">
      <alignment horizontal="center" vertical="center"/>
    </xf>
    <xf numFmtId="2" fontId="14" fillId="4" borderId="0" xfId="0" applyNumberFormat="1" applyFont="1" applyFill="1" applyAlignment="1">
      <alignment horizontal="center" vertical="center"/>
    </xf>
    <xf numFmtId="44" fontId="2" fillId="4" borderId="0" xfId="1" applyFont="1" applyFill="1" applyAlignment="1">
      <alignment vertical="center"/>
    </xf>
    <xf numFmtId="44" fontId="2" fillId="4" borderId="0" xfId="1" applyFont="1" applyFill="1" applyAlignment="1">
      <alignment horizontal="right" vertical="center"/>
    </xf>
    <xf numFmtId="44" fontId="4" fillId="0" borderId="0" xfId="0" applyNumberFormat="1" applyFont="1" applyFill="1" applyAlignment="1">
      <alignment horizontal="center" vertical="center"/>
    </xf>
    <xf numFmtId="0" fontId="11" fillId="0" borderId="0" xfId="0" applyFont="1"/>
    <xf numFmtId="0" fontId="11" fillId="0" borderId="0" xfId="0" applyFont="1" applyFill="1"/>
    <xf numFmtId="44" fontId="4" fillId="4" borderId="0" xfId="0" applyNumberFormat="1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7" fillId="0" borderId="0" xfId="0" applyFont="1" applyAlignment="1">
      <alignment vertical="center" wrapText="1"/>
    </xf>
    <xf numFmtId="44" fontId="14" fillId="0" borderId="0" xfId="1" applyFont="1" applyAlignment="1">
      <alignment horizontal="center"/>
    </xf>
    <xf numFmtId="44" fontId="11" fillId="0" borderId="0" xfId="1" applyFont="1" applyAlignment="1">
      <alignment horizontal="center"/>
    </xf>
    <xf numFmtId="44" fontId="0" fillId="0" borderId="0" xfId="0" applyNumberFormat="1"/>
    <xf numFmtId="0" fontId="19" fillId="0" borderId="0" xfId="0" applyFont="1" applyAlignment="1">
      <alignment wrapText="1"/>
    </xf>
    <xf numFmtId="0" fontId="18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12" fillId="0" borderId="0" xfId="0" applyFont="1" applyFill="1" applyAlignment="1"/>
    <xf numFmtId="0" fontId="6" fillId="0" borderId="0" xfId="0" applyFont="1" applyBorder="1" applyAlignment="1">
      <alignment horizontal="center"/>
    </xf>
    <xf numFmtId="44" fontId="11" fillId="0" borderId="0" xfId="1" applyFont="1" applyFill="1" applyAlignment="1">
      <alignment horizontal="center"/>
    </xf>
    <xf numFmtId="0" fontId="12" fillId="0" borderId="0" xfId="0" applyFont="1" applyFill="1" applyBorder="1" applyAlignment="1"/>
    <xf numFmtId="0" fontId="0" fillId="0" borderId="0" xfId="0" applyFill="1" applyBorder="1" applyAlignment="1"/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44" fontId="13" fillId="2" borderId="0" xfId="1" applyFont="1" applyFill="1" applyAlignment="1">
      <alignment horizontal="center"/>
    </xf>
    <xf numFmtId="44" fontId="13" fillId="3" borderId="5" xfId="1" applyFont="1" applyFill="1" applyBorder="1" applyAlignment="1">
      <alignment horizontal="center"/>
    </xf>
    <xf numFmtId="44" fontId="13" fillId="3" borderId="3" xfId="1" applyFont="1" applyFill="1" applyBorder="1" applyAlignment="1">
      <alignment horizontal="center"/>
    </xf>
    <xf numFmtId="0" fontId="21" fillId="2" borderId="0" xfId="0" applyFont="1" applyFill="1" applyAlignment="1">
      <alignment horizontal="center"/>
    </xf>
    <xf numFmtId="0" fontId="22" fillId="4" borderId="0" xfId="0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4" fontId="11" fillId="3" borderId="0" xfId="1" applyFont="1" applyFill="1" applyAlignment="1">
      <alignment horizontal="center"/>
    </xf>
    <xf numFmtId="44" fontId="15" fillId="3" borderId="0" xfId="1" applyFont="1" applyFill="1" applyAlignment="1">
      <alignment horizontal="left" vertical="center" wrapText="1"/>
    </xf>
    <xf numFmtId="0" fontId="17" fillId="3" borderId="0" xfId="0" applyFont="1" applyFill="1" applyAlignment="1">
      <alignment vertical="center"/>
    </xf>
    <xf numFmtId="2" fontId="4" fillId="6" borderId="0" xfId="0" applyNumberFormat="1" applyFont="1" applyFill="1" applyAlignment="1">
      <alignment horizontal="center" vertical="center" wrapText="1"/>
    </xf>
    <xf numFmtId="0" fontId="4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center" vertical="center"/>
    </xf>
    <xf numFmtId="4" fontId="4" fillId="6" borderId="0" xfId="0" applyNumberFormat="1" applyFont="1" applyFill="1" applyAlignment="1">
      <alignment horizontal="center" vertical="center"/>
    </xf>
    <xf numFmtId="2" fontId="14" fillId="6" borderId="0" xfId="0" applyNumberFormat="1" applyFont="1" applyFill="1" applyAlignment="1">
      <alignment horizontal="center" vertical="center"/>
    </xf>
    <xf numFmtId="44" fontId="4" fillId="6" borderId="0" xfId="0" applyNumberFormat="1" applyFont="1" applyFill="1" applyAlignment="1">
      <alignment horizontal="center" vertical="center"/>
    </xf>
    <xf numFmtId="44" fontId="2" fillId="6" borderId="0" xfId="1" applyFont="1" applyFill="1" applyAlignment="1">
      <alignment vertical="center"/>
    </xf>
    <xf numFmtId="0" fontId="11" fillId="3" borderId="0" xfId="0" applyFont="1" applyFill="1" applyAlignment="1">
      <alignment horizontal="center"/>
    </xf>
    <xf numFmtId="0" fontId="15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vertical="center"/>
    </xf>
    <xf numFmtId="0" fontId="13" fillId="2" borderId="0" xfId="0" applyFont="1" applyFill="1" applyBorder="1" applyAlignment="1">
      <alignment horizontal="center"/>
    </xf>
    <xf numFmtId="2" fontId="14" fillId="0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Alignment="1">
      <alignment vertical="center"/>
    </xf>
    <xf numFmtId="0" fontId="5" fillId="0" borderId="0" xfId="0" applyFont="1" applyBorder="1" applyAlignment="1">
      <alignment horizontal="center"/>
    </xf>
    <xf numFmtId="44" fontId="2" fillId="0" borderId="0" xfId="1" applyFont="1" applyFill="1" applyBorder="1" applyAlignment="1">
      <alignment vertical="center"/>
    </xf>
    <xf numFmtId="0" fontId="9" fillId="0" borderId="0" xfId="0" applyFont="1" applyFill="1" applyAlignment="1">
      <alignment horizontal="left"/>
    </xf>
    <xf numFmtId="0" fontId="8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44" fontId="24" fillId="2" borderId="7" xfId="1" applyFont="1" applyFill="1" applyBorder="1"/>
    <xf numFmtId="44" fontId="25" fillId="3" borderId="0" xfId="0" applyNumberFormat="1" applyFont="1" applyFill="1"/>
    <xf numFmtId="44" fontId="25" fillId="2" borderId="0" xfId="1" applyFont="1" applyFill="1"/>
    <xf numFmtId="44" fontId="23" fillId="0" borderId="0" xfId="1" applyFont="1" applyFill="1" applyBorder="1"/>
    <xf numFmtId="44" fontId="25" fillId="0" borderId="0" xfId="1" applyFont="1" applyFill="1"/>
    <xf numFmtId="44" fontId="17" fillId="0" borderId="0" xfId="0" applyNumberFormat="1" applyFont="1" applyAlignment="1">
      <alignment horizontal="left" vertical="center" wrapText="1"/>
    </xf>
    <xf numFmtId="44" fontId="14" fillId="5" borderId="0" xfId="1" applyFont="1" applyFill="1" applyAlignment="1">
      <alignment horizontal="center" vertical="center"/>
    </xf>
    <xf numFmtId="44" fontId="14" fillId="5" borderId="0" xfId="0" applyNumberFormat="1" applyFont="1" applyFill="1" applyAlignment="1">
      <alignment horizontal="center" vertical="center"/>
    </xf>
    <xf numFmtId="44" fontId="11" fillId="5" borderId="0" xfId="1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44" fontId="11" fillId="5" borderId="0" xfId="1" applyFont="1" applyFill="1" applyAlignment="1">
      <alignment horizontal="left"/>
    </xf>
    <xf numFmtId="44" fontId="13" fillId="5" borderId="0" xfId="1" applyFont="1" applyFill="1" applyAlignment="1">
      <alignment horizontal="center" vertical="center"/>
    </xf>
    <xf numFmtId="44" fontId="13" fillId="5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44" fontId="11" fillId="5" borderId="0" xfId="0" applyNumberFormat="1" applyFont="1" applyFill="1" applyAlignment="1">
      <alignment horizontal="center"/>
    </xf>
    <xf numFmtId="44" fontId="16" fillId="5" borderId="0" xfId="1" applyFont="1" applyFill="1" applyBorder="1" applyAlignment="1">
      <alignment horizontal="center"/>
    </xf>
    <xf numFmtId="44" fontId="16" fillId="5" borderId="0" xfId="0" applyNumberFormat="1" applyFont="1" applyFill="1" applyBorder="1" applyAlignment="1">
      <alignment horizontal="center"/>
    </xf>
    <xf numFmtId="44" fontId="14" fillId="5" borderId="2" xfId="1" applyFont="1" applyFill="1" applyBorder="1" applyAlignment="1">
      <alignment horizontal="center" vertical="center"/>
    </xf>
    <xf numFmtId="44" fontId="14" fillId="5" borderId="2" xfId="0" applyNumberFormat="1" applyFont="1" applyFill="1" applyBorder="1" applyAlignment="1">
      <alignment horizontal="center" vertical="center"/>
    </xf>
    <xf numFmtId="44" fontId="16" fillId="5" borderId="0" xfId="1" applyFont="1" applyFill="1" applyAlignment="1">
      <alignment horizontal="center"/>
    </xf>
    <xf numFmtId="44" fontId="4" fillId="4" borderId="0" xfId="1" applyFont="1" applyFill="1" applyAlignment="1">
      <alignment horizontal="center" vertical="center"/>
    </xf>
    <xf numFmtId="44" fontId="13" fillId="5" borderId="1" xfId="1" applyFont="1" applyFill="1" applyBorder="1" applyAlignment="1">
      <alignment horizontal="center"/>
    </xf>
    <xf numFmtId="44" fontId="13" fillId="5" borderId="0" xfId="1" applyFont="1" applyFill="1" applyBorder="1" applyAlignment="1">
      <alignment horizontal="center"/>
    </xf>
    <xf numFmtId="0" fontId="13" fillId="5" borderId="0" xfId="0" applyFont="1" applyFill="1" applyBorder="1" applyAlignment="1">
      <alignment horizontal="center"/>
    </xf>
    <xf numFmtId="44" fontId="14" fillId="5" borderId="0" xfId="1" applyFont="1" applyFill="1" applyBorder="1" applyAlignment="1">
      <alignment horizontal="center" vertical="center"/>
    </xf>
    <xf numFmtId="44" fontId="14" fillId="5" borderId="0" xfId="0" applyNumberFormat="1" applyFont="1" applyFill="1" applyBorder="1" applyAlignment="1">
      <alignment horizontal="center" vertical="center"/>
    </xf>
    <xf numFmtId="44" fontId="4" fillId="0" borderId="2" xfId="0" applyNumberFormat="1" applyFont="1" applyFill="1" applyBorder="1" applyAlignment="1">
      <alignment horizontal="center" vertical="center"/>
    </xf>
    <xf numFmtId="44" fontId="14" fillId="5" borderId="0" xfId="1" applyFont="1" applyFill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9" fillId="0" borderId="0" xfId="0" applyFont="1" applyFill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0" fillId="0" borderId="7" xfId="0" applyBorder="1"/>
    <xf numFmtId="164" fontId="0" fillId="0" borderId="7" xfId="0" applyNumberFormat="1" applyFill="1" applyBorder="1"/>
    <xf numFmtId="0" fontId="0" fillId="0" borderId="8" xfId="0" applyFill="1" applyBorder="1" applyAlignment="1">
      <alignment horizontal="right"/>
    </xf>
    <xf numFmtId="0" fontId="0" fillId="7" borderId="7" xfId="0" applyFill="1" applyBorder="1"/>
    <xf numFmtId="164" fontId="0" fillId="7" borderId="7" xfId="0" applyNumberFormat="1" applyFill="1" applyBorder="1"/>
    <xf numFmtId="164" fontId="0" fillId="0" borderId="0" xfId="0" applyNumberFormat="1"/>
    <xf numFmtId="44" fontId="2" fillId="0" borderId="0" xfId="0" applyNumberFormat="1" applyFont="1" applyFill="1" applyAlignment="1">
      <alignment horizontal="center"/>
    </xf>
    <xf numFmtId="44" fontId="2" fillId="0" borderId="0" xfId="0" applyNumberFormat="1" applyFont="1" applyFill="1"/>
    <xf numFmtId="0" fontId="12" fillId="0" borderId="0" xfId="0" applyFont="1" applyAlignment="1">
      <alignment horizontal="center"/>
    </xf>
    <xf numFmtId="0" fontId="25" fillId="2" borderId="0" xfId="0" applyFont="1" applyFill="1" applyAlignment="1">
      <alignment horizontal="center"/>
    </xf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4" fontId="16" fillId="0" borderId="0" xfId="1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vertical="center" wrapText="1"/>
    </xf>
    <xf numFmtId="164" fontId="0" fillId="0" borderId="7" xfId="0" applyNumberFormat="1" applyFill="1" applyBorder="1" applyAlignment="1">
      <alignment vertical="center"/>
    </xf>
    <xf numFmtId="44" fontId="14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2" fillId="7" borderId="9" xfId="0" applyFont="1" applyFill="1" applyBorder="1"/>
    <xf numFmtId="0" fontId="12" fillId="7" borderId="10" xfId="0" applyFont="1" applyFill="1" applyBorder="1"/>
    <xf numFmtId="164" fontId="12" fillId="7" borderId="11" xfId="0" applyNumberFormat="1" applyFont="1" applyFill="1" applyBorder="1"/>
    <xf numFmtId="44" fontId="0" fillId="0" borderId="0" xfId="1" applyFont="1"/>
    <xf numFmtId="0" fontId="26" fillId="0" borderId="0" xfId="0" applyFont="1" applyAlignment="1">
      <alignment horizontal="center"/>
    </xf>
    <xf numFmtId="44" fontId="14" fillId="5" borderId="0" xfId="1" applyFont="1" applyFill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2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240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67236</xdr:rowOff>
    </xdr:from>
    <xdr:ext cx="1238249" cy="694764"/>
    <xdr:pic>
      <xdr:nvPicPr>
        <xdr:cNvPr id="2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7236"/>
          <a:ext cx="1238249" cy="694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</xdr:colOff>
      <xdr:row>0</xdr:row>
      <xdr:rowOff>67236</xdr:rowOff>
    </xdr:from>
    <xdr:ext cx="1238249" cy="694764"/>
    <xdr:pic>
      <xdr:nvPicPr>
        <xdr:cNvPr id="3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7236"/>
          <a:ext cx="1238249" cy="694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</xdr:colOff>
      <xdr:row>0</xdr:row>
      <xdr:rowOff>67236</xdr:rowOff>
    </xdr:from>
    <xdr:ext cx="1238249" cy="694764"/>
    <xdr:pic>
      <xdr:nvPicPr>
        <xdr:cNvPr id="4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7236"/>
          <a:ext cx="1238249" cy="694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01963" cy="692496"/>
    <xdr:pic>
      <xdr:nvPicPr>
        <xdr:cNvPr id="4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1963" cy="692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123824</xdr:colOff>
      <xdr:row>1</xdr:row>
      <xdr:rowOff>28576</xdr:rowOff>
    </xdr:from>
    <xdr:to>
      <xdr:col>2</xdr:col>
      <xdr:colOff>1295400</xdr:colOff>
      <xdr:row>2</xdr:row>
      <xdr:rowOff>161926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3174" y="219076"/>
          <a:ext cx="1171576" cy="323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3"/>
  <sheetViews>
    <sheetView tabSelected="1" view="pageBreakPreview" zoomScaleNormal="85" zoomScaleSheetLayoutView="100" workbookViewId="0">
      <selection activeCell="G62" sqref="G62"/>
    </sheetView>
  </sheetViews>
  <sheetFormatPr baseColWidth="10" defaultRowHeight="16.5" outlineLevelRow="2" outlineLevelCol="1" x14ac:dyDescent="0.3"/>
  <cols>
    <col min="1" max="1" width="18.7109375" style="3" customWidth="1"/>
    <col min="2" max="2" width="87" style="2" customWidth="1"/>
    <col min="3" max="3" width="5.7109375" style="1" customWidth="1"/>
    <col min="4" max="4" width="6.7109375" style="1" customWidth="1"/>
    <col min="5" max="5" width="5.7109375" style="1" customWidth="1"/>
    <col min="6" max="6" width="14.7109375" style="79" customWidth="1" outlineLevel="1"/>
    <col min="7" max="7" width="20.5703125" style="89" customWidth="1" outlineLevel="1"/>
    <col min="8" max="8" width="10.7109375" style="1" customWidth="1" outlineLevel="1"/>
    <col min="9" max="9" width="15.140625" style="1" customWidth="1"/>
    <col min="10" max="10" width="20.140625" bestFit="1" customWidth="1"/>
    <col min="11" max="11" width="10.7109375" style="1" customWidth="1" outlineLevel="1"/>
    <col min="12" max="12" width="19.5703125" customWidth="1" outlineLevel="1"/>
    <col min="13" max="13" width="16.7109375" hidden="1" customWidth="1"/>
    <col min="14" max="14" width="14.28515625" hidden="1" customWidth="1"/>
    <col min="15" max="15" width="11.42578125" style="145"/>
  </cols>
  <sheetData>
    <row r="1" spans="1:15" ht="15" x14ac:dyDescent="0.25">
      <c r="B1" s="14" t="s">
        <v>192</v>
      </c>
      <c r="C1" s="13"/>
      <c r="D1" s="13"/>
      <c r="E1" s="13"/>
      <c r="F1" s="107"/>
      <c r="G1" s="108"/>
      <c r="H1" s="13"/>
      <c r="I1" s="13"/>
      <c r="K1" s="13"/>
    </row>
    <row r="2" spans="1:15" ht="15.75" thickBot="1" x14ac:dyDescent="0.3">
      <c r="B2" s="14" t="s">
        <v>193</v>
      </c>
      <c r="C2" s="13"/>
      <c r="D2" s="13"/>
      <c r="E2" s="13"/>
      <c r="F2" s="107"/>
      <c r="G2" s="108"/>
      <c r="H2" s="13"/>
      <c r="I2" s="13"/>
      <c r="K2" s="13"/>
    </row>
    <row r="3" spans="1:15" ht="15.75" thickBot="1" x14ac:dyDescent="0.3">
      <c r="B3" s="14" t="s">
        <v>252</v>
      </c>
      <c r="C3" s="13"/>
      <c r="D3" s="13"/>
      <c r="E3" s="13"/>
      <c r="F3" s="107"/>
      <c r="G3" s="73" t="s">
        <v>147</v>
      </c>
      <c r="H3" s="44">
        <v>16.149999999999999</v>
      </c>
      <c r="I3" s="71"/>
      <c r="K3" s="73" t="s">
        <v>147</v>
      </c>
      <c r="L3" s="44">
        <v>16.149999999999999</v>
      </c>
    </row>
    <row r="4" spans="1:15" ht="15.75" thickBot="1" x14ac:dyDescent="0.3">
      <c r="B4" s="14" t="s">
        <v>253</v>
      </c>
      <c r="C4" s="13"/>
      <c r="D4" s="13"/>
      <c r="E4" s="13"/>
      <c r="F4" s="107"/>
      <c r="G4" s="74" t="s">
        <v>148</v>
      </c>
      <c r="H4" s="43">
        <v>1.17</v>
      </c>
      <c r="I4" s="71"/>
      <c r="K4" s="74" t="s">
        <v>251</v>
      </c>
      <c r="L4" s="43">
        <f>1.21</f>
        <v>1.21</v>
      </c>
    </row>
    <row r="5" spans="1:15" ht="15" x14ac:dyDescent="0.25">
      <c r="A5" s="12"/>
      <c r="B5" s="11"/>
      <c r="C5" s="13"/>
      <c r="D5" s="13"/>
      <c r="E5" s="13"/>
      <c r="F5" s="107"/>
      <c r="G5" s="108"/>
      <c r="H5" s="13"/>
      <c r="I5" s="70"/>
      <c r="K5" s="13"/>
    </row>
    <row r="6" spans="1:15" ht="15" x14ac:dyDescent="0.25">
      <c r="A6" s="9" t="s">
        <v>135</v>
      </c>
      <c r="B6" s="9" t="s">
        <v>134</v>
      </c>
      <c r="C6" s="10" t="s">
        <v>133</v>
      </c>
      <c r="D6" s="10" t="s">
        <v>140</v>
      </c>
      <c r="E6" s="10" t="s">
        <v>141</v>
      </c>
      <c r="F6" s="123" t="s">
        <v>142</v>
      </c>
      <c r="G6" s="123" t="s">
        <v>163</v>
      </c>
      <c r="H6" s="40"/>
      <c r="I6" s="10" t="s">
        <v>142</v>
      </c>
      <c r="J6" s="9" t="s">
        <v>132</v>
      </c>
      <c r="K6" s="40"/>
      <c r="L6" s="9" t="s">
        <v>194</v>
      </c>
      <c r="M6" s="95"/>
    </row>
    <row r="7" spans="1:15" ht="15" hidden="1" x14ac:dyDescent="0.25">
      <c r="A7" s="9" t="s">
        <v>135</v>
      </c>
      <c r="B7" s="9" t="s">
        <v>134</v>
      </c>
      <c r="C7" s="10" t="s">
        <v>133</v>
      </c>
      <c r="D7" s="66"/>
      <c r="E7" s="66"/>
      <c r="F7" s="124"/>
      <c r="G7" s="125"/>
      <c r="H7" s="66"/>
      <c r="I7" s="66"/>
      <c r="J7">
        <v>0.93</v>
      </c>
      <c r="K7" s="66"/>
    </row>
    <row r="8" spans="1:15" hidden="1" x14ac:dyDescent="0.3">
      <c r="F8" s="109"/>
      <c r="G8" s="110"/>
      <c r="J8" t="s">
        <v>139</v>
      </c>
    </row>
    <row r="9" spans="1:15" s="24" customFormat="1" ht="15" x14ac:dyDescent="0.25">
      <c r="A9" s="21">
        <v>1</v>
      </c>
      <c r="B9" s="22" t="s">
        <v>131</v>
      </c>
      <c r="C9" s="75" t="s">
        <v>3</v>
      </c>
      <c r="D9" s="23"/>
      <c r="E9" s="23"/>
      <c r="F9" s="41" t="s">
        <v>175</v>
      </c>
      <c r="G9" s="72">
        <f>SUMIF(C10:C14,"",G10:G14)</f>
        <v>13630</v>
      </c>
      <c r="H9" s="23"/>
      <c r="I9" s="23"/>
      <c r="J9" s="103">
        <f>SUMIF(C10:C14,"",J10:J14)</f>
        <v>15947.1</v>
      </c>
      <c r="K9" s="23"/>
      <c r="L9" s="103">
        <f>SUM(L10:L14)</f>
        <v>19295.990999999998</v>
      </c>
      <c r="M9" s="37">
        <f t="shared" ref="M9:M72" si="0">L9/J9</f>
        <v>1.21</v>
      </c>
      <c r="O9" s="146" t="s">
        <v>208</v>
      </c>
    </row>
    <row r="10" spans="1:15" s="16" customFormat="1" ht="15" outlineLevel="1" x14ac:dyDescent="0.25">
      <c r="A10" s="46">
        <f>A9+0.01</f>
        <v>1.01</v>
      </c>
      <c r="B10" s="47" t="s">
        <v>130</v>
      </c>
      <c r="C10" s="48"/>
      <c r="D10" s="48">
        <v>1810</v>
      </c>
      <c r="E10" s="48" t="s">
        <v>144</v>
      </c>
      <c r="F10" s="48"/>
      <c r="G10" s="48"/>
      <c r="H10" s="50">
        <f>$H$4</f>
        <v>1.17</v>
      </c>
      <c r="I10" s="48"/>
      <c r="J10" s="52" t="s">
        <v>149</v>
      </c>
      <c r="K10" s="50">
        <f>$L$4</f>
        <v>1.21</v>
      </c>
      <c r="L10" s="52"/>
      <c r="M10" s="37" t="e">
        <f t="shared" si="0"/>
        <v>#VALUE!</v>
      </c>
      <c r="O10" s="147"/>
    </row>
    <row r="11" spans="1:15" s="16" customFormat="1" ht="15" outlineLevel="1" x14ac:dyDescent="0.25">
      <c r="A11" s="4">
        <f>A10+0.01</f>
        <v>1.02</v>
      </c>
      <c r="B11" s="6" t="s">
        <v>129</v>
      </c>
      <c r="C11" s="5"/>
      <c r="D11" s="5">
        <v>554.40000000000009</v>
      </c>
      <c r="E11" s="5" t="s">
        <v>144</v>
      </c>
      <c r="F11" s="107">
        <v>18.18181818181818</v>
      </c>
      <c r="G11" s="108">
        <f>F11*D11</f>
        <v>10080</v>
      </c>
      <c r="H11" s="45">
        <f>$H$4</f>
        <v>1.17</v>
      </c>
      <c r="I11" s="53">
        <f>H11*F11</f>
        <v>21.27272727272727</v>
      </c>
      <c r="J11" s="35">
        <f>I11*D11</f>
        <v>11793.6</v>
      </c>
      <c r="K11" s="50">
        <f>$L$4</f>
        <v>1.21</v>
      </c>
      <c r="L11" s="35">
        <f>J11*K11</f>
        <v>14270.255999999999</v>
      </c>
      <c r="M11" s="37">
        <f t="shared" si="0"/>
        <v>1.21</v>
      </c>
      <c r="O11" s="147"/>
    </row>
    <row r="12" spans="1:15" s="16" customFormat="1" ht="15" outlineLevel="1" x14ac:dyDescent="0.25">
      <c r="A12" s="4">
        <f>A11+0.01</f>
        <v>1.03</v>
      </c>
      <c r="B12" s="6" t="s">
        <v>128</v>
      </c>
      <c r="C12" s="5"/>
      <c r="D12" s="5">
        <v>0</v>
      </c>
      <c r="E12" s="5" t="s">
        <v>146</v>
      </c>
      <c r="F12" s="107">
        <v>500</v>
      </c>
      <c r="G12" s="108">
        <f t="shared" ref="G12:G13" si="1">F12*D12</f>
        <v>0</v>
      </c>
      <c r="H12" s="45">
        <f t="shared" ref="H12:H14" si="2">$H$4</f>
        <v>1.17</v>
      </c>
      <c r="I12" s="53">
        <f>H12*F12</f>
        <v>585</v>
      </c>
      <c r="J12" s="35">
        <f>I12*D12</f>
        <v>0</v>
      </c>
      <c r="K12" s="50">
        <f>$L$4</f>
        <v>1.21</v>
      </c>
      <c r="L12" s="35">
        <f>J12*K12</f>
        <v>0</v>
      </c>
      <c r="M12" s="37" t="e">
        <f t="shared" si="0"/>
        <v>#DIV/0!</v>
      </c>
      <c r="O12" s="147"/>
    </row>
    <row r="13" spans="1:15" s="16" customFormat="1" ht="15" outlineLevel="1" x14ac:dyDescent="0.25">
      <c r="A13" s="4">
        <f>A12+0.01</f>
        <v>1.04</v>
      </c>
      <c r="B13" s="6" t="s">
        <v>127</v>
      </c>
      <c r="C13" s="5"/>
      <c r="D13" s="5">
        <v>1</v>
      </c>
      <c r="E13" s="5" t="s">
        <v>143</v>
      </c>
      <c r="F13" s="107">
        <v>3550</v>
      </c>
      <c r="G13" s="108">
        <f t="shared" si="1"/>
        <v>3550</v>
      </c>
      <c r="H13" s="45">
        <f t="shared" si="2"/>
        <v>1.17</v>
      </c>
      <c r="I13" s="53">
        <f>H13*F13</f>
        <v>4153.5</v>
      </c>
      <c r="J13" s="35">
        <f>I13*D13</f>
        <v>4153.5</v>
      </c>
      <c r="K13" s="50">
        <f>$L$4</f>
        <v>1.21</v>
      </c>
      <c r="L13" s="35">
        <f>J13*K13</f>
        <v>5025.7349999999997</v>
      </c>
      <c r="M13" s="37">
        <f t="shared" si="0"/>
        <v>1.21</v>
      </c>
      <c r="O13" s="147"/>
    </row>
    <row r="14" spans="1:15" s="16" customFormat="1" ht="15" outlineLevel="1" x14ac:dyDescent="0.25">
      <c r="A14" s="46">
        <f>A13+0.01</f>
        <v>1.05</v>
      </c>
      <c r="B14" s="47" t="s">
        <v>126</v>
      </c>
      <c r="C14" s="76" t="s">
        <v>170</v>
      </c>
      <c r="D14" s="48">
        <v>3</v>
      </c>
      <c r="E14" s="48" t="s">
        <v>157</v>
      </c>
      <c r="F14" s="48"/>
      <c r="G14" s="57"/>
      <c r="H14" s="50">
        <f t="shared" si="2"/>
        <v>1.17</v>
      </c>
      <c r="I14" s="48"/>
      <c r="J14" s="52" t="s">
        <v>159</v>
      </c>
      <c r="K14" s="50">
        <f>$L$4</f>
        <v>1.21</v>
      </c>
      <c r="L14" s="52" t="s">
        <v>159</v>
      </c>
      <c r="M14" s="37" t="e">
        <f t="shared" si="0"/>
        <v>#VALUE!</v>
      </c>
      <c r="O14" s="147"/>
    </row>
    <row r="15" spans="1:15" s="15" customFormat="1" x14ac:dyDescent="0.3">
      <c r="A15" s="17"/>
      <c r="B15" s="18"/>
      <c r="C15" s="17"/>
      <c r="D15" s="17"/>
      <c r="E15" s="17"/>
      <c r="F15" s="115"/>
      <c r="G15" s="116"/>
      <c r="H15" s="17"/>
      <c r="I15" s="17"/>
      <c r="J15" s="36"/>
      <c r="K15" s="17"/>
      <c r="L15" s="35"/>
      <c r="M15" s="37" t="e">
        <f t="shared" si="0"/>
        <v>#DIV/0!</v>
      </c>
      <c r="O15" s="148"/>
    </row>
    <row r="16" spans="1:15" s="24" customFormat="1" ht="15" x14ac:dyDescent="0.25">
      <c r="A16" s="21">
        <f>A9+1</f>
        <v>2</v>
      </c>
      <c r="B16" s="22" t="s">
        <v>125</v>
      </c>
      <c r="C16" s="75" t="s">
        <v>3</v>
      </c>
      <c r="D16" s="23"/>
      <c r="E16" s="23"/>
      <c r="F16" s="41" t="s">
        <v>247</v>
      </c>
      <c r="G16" s="72">
        <f>SUMIF(C17:C21,"",G17:G21)</f>
        <v>104696.07843137255</v>
      </c>
      <c r="H16" s="23"/>
      <c r="I16" s="23"/>
      <c r="J16" s="103">
        <f>SUMIF(C17:C21,"",J17:J21)</f>
        <v>122494.41176470589</v>
      </c>
      <c r="K16" s="23"/>
      <c r="L16" s="103">
        <f>SUM(L17:L21)</f>
        <v>148218.23823529409</v>
      </c>
      <c r="M16" s="37">
        <f t="shared" si="0"/>
        <v>1.2099999999999997</v>
      </c>
      <c r="O16" s="146" t="s">
        <v>210</v>
      </c>
    </row>
    <row r="17" spans="1:15" s="16" customFormat="1" ht="15" outlineLevel="1" x14ac:dyDescent="0.25">
      <c r="A17" s="4">
        <f>A16+0.01</f>
        <v>2.0099999999999998</v>
      </c>
      <c r="B17" s="6" t="s">
        <v>124</v>
      </c>
      <c r="C17" s="5"/>
      <c r="D17" s="5">
        <v>99.000000000000014</v>
      </c>
      <c r="E17" s="5" t="s">
        <v>144</v>
      </c>
      <c r="F17" s="107">
        <f>310/1.02</f>
        <v>303.92156862745099</v>
      </c>
      <c r="G17" s="108">
        <f>F17*D17</f>
        <v>30088.235294117654</v>
      </c>
      <c r="H17" s="45">
        <f t="shared" ref="H17:H21" si="3">$H$4</f>
        <v>1.17</v>
      </c>
      <c r="I17" s="53">
        <f>H17*F17</f>
        <v>355.58823529411762</v>
      </c>
      <c r="J17" s="35">
        <f>I17*D17</f>
        <v>35203.23529411765</v>
      </c>
      <c r="K17" s="50">
        <f>$L$4</f>
        <v>1.21</v>
      </c>
      <c r="L17" s="35">
        <f>J17*K17</f>
        <v>42595.914705882358</v>
      </c>
      <c r="M17" s="37">
        <f t="shared" si="0"/>
        <v>1.21</v>
      </c>
      <c r="O17" s="147"/>
    </row>
    <row r="18" spans="1:15" s="16" customFormat="1" ht="15" outlineLevel="1" x14ac:dyDescent="0.25">
      <c r="A18" s="4">
        <f>A17+0.01</f>
        <v>2.0199999999999996</v>
      </c>
      <c r="B18" s="6" t="s">
        <v>123</v>
      </c>
      <c r="C18" s="5"/>
      <c r="D18" s="5">
        <v>1</v>
      </c>
      <c r="E18" s="5" t="s">
        <v>158</v>
      </c>
      <c r="F18" s="107">
        <f>1200/1.02</f>
        <v>1176.4705882352941</v>
      </c>
      <c r="G18" s="108">
        <f t="shared" ref="G18:G21" si="4">F18*D18</f>
        <v>1176.4705882352941</v>
      </c>
      <c r="H18" s="45">
        <f t="shared" si="3"/>
        <v>1.17</v>
      </c>
      <c r="I18" s="53">
        <f>H18*F18</f>
        <v>1376.4705882352941</v>
      </c>
      <c r="J18" s="35">
        <f>I18*D18</f>
        <v>1376.4705882352941</v>
      </c>
      <c r="K18" s="50">
        <f>$L$4</f>
        <v>1.21</v>
      </c>
      <c r="L18" s="35">
        <f>J18*K18</f>
        <v>1665.5294117647059</v>
      </c>
      <c r="M18" s="37">
        <f t="shared" si="0"/>
        <v>1.21</v>
      </c>
      <c r="O18" s="147"/>
    </row>
    <row r="19" spans="1:15" s="16" customFormat="1" ht="15" outlineLevel="1" x14ac:dyDescent="0.25">
      <c r="A19" s="4">
        <f>A18+0.01</f>
        <v>2.0299999999999994</v>
      </c>
      <c r="B19" s="6" t="s">
        <v>122</v>
      </c>
      <c r="C19" s="5"/>
      <c r="D19" s="5">
        <v>1</v>
      </c>
      <c r="E19" s="5" t="s">
        <v>143</v>
      </c>
      <c r="F19" s="107">
        <f>27700/1.02</f>
        <v>27156.862745098038</v>
      </c>
      <c r="G19" s="108">
        <f t="shared" si="4"/>
        <v>27156.862745098038</v>
      </c>
      <c r="H19" s="45">
        <f t="shared" si="3"/>
        <v>1.17</v>
      </c>
      <c r="I19" s="53">
        <f>H19*F19</f>
        <v>31773.529411764703</v>
      </c>
      <c r="J19" s="35">
        <f>I19*D19</f>
        <v>31773.529411764703</v>
      </c>
      <c r="K19" s="50">
        <f>$L$4</f>
        <v>1.21</v>
      </c>
      <c r="L19" s="35">
        <f>J19*K19</f>
        <v>38445.970588235286</v>
      </c>
      <c r="M19" s="37">
        <f t="shared" si="0"/>
        <v>1.21</v>
      </c>
      <c r="O19" s="147"/>
    </row>
    <row r="20" spans="1:15" s="16" customFormat="1" ht="15" outlineLevel="1" x14ac:dyDescent="0.25">
      <c r="A20" s="4">
        <f>A19+0.01</f>
        <v>2.0399999999999991</v>
      </c>
      <c r="B20" s="6" t="s">
        <v>121</v>
      </c>
      <c r="C20" s="5"/>
      <c r="D20" s="5">
        <v>1</v>
      </c>
      <c r="E20" s="5" t="s">
        <v>143</v>
      </c>
      <c r="F20" s="107">
        <f>41400/1.02</f>
        <v>40588.235294117643</v>
      </c>
      <c r="G20" s="108">
        <f t="shared" si="4"/>
        <v>40588.235294117643</v>
      </c>
      <c r="H20" s="45">
        <f t="shared" si="3"/>
        <v>1.17</v>
      </c>
      <c r="I20" s="53">
        <f>H20*F20</f>
        <v>47488.235294117643</v>
      </c>
      <c r="J20" s="35">
        <f>I20*D20</f>
        <v>47488.235294117643</v>
      </c>
      <c r="K20" s="50">
        <f>$L$4</f>
        <v>1.21</v>
      </c>
      <c r="L20" s="35">
        <f>J20*K20</f>
        <v>57460.76470588235</v>
      </c>
      <c r="M20" s="37">
        <f t="shared" si="0"/>
        <v>1.21</v>
      </c>
      <c r="O20" s="147"/>
    </row>
    <row r="21" spans="1:15" s="16" customFormat="1" ht="15" outlineLevel="1" x14ac:dyDescent="0.25">
      <c r="A21" s="4">
        <f>A20+0.01</f>
        <v>2.0499999999999989</v>
      </c>
      <c r="B21" s="6" t="s">
        <v>248</v>
      </c>
      <c r="C21" s="5"/>
      <c r="D21" s="5">
        <v>1</v>
      </c>
      <c r="E21" s="5" t="s">
        <v>143</v>
      </c>
      <c r="F21" s="107">
        <f>5800/1.02</f>
        <v>5686.2745098039213</v>
      </c>
      <c r="G21" s="108">
        <f t="shared" si="4"/>
        <v>5686.2745098039213</v>
      </c>
      <c r="H21" s="45">
        <f t="shared" si="3"/>
        <v>1.17</v>
      </c>
      <c r="I21" s="53">
        <f>H21*F21</f>
        <v>6652.9411764705874</v>
      </c>
      <c r="J21" s="35">
        <f>I21*D21</f>
        <v>6652.9411764705874</v>
      </c>
      <c r="K21" s="50">
        <f>$L$4</f>
        <v>1.21</v>
      </c>
      <c r="L21" s="35">
        <f>J21*K21</f>
        <v>8050.0588235294108</v>
      </c>
      <c r="M21" s="37">
        <f t="shared" si="0"/>
        <v>1.21</v>
      </c>
      <c r="O21" s="147"/>
    </row>
    <row r="22" spans="1:15" s="16" customFormat="1" ht="38.25" outlineLevel="1" x14ac:dyDescent="0.25">
      <c r="A22" s="4"/>
      <c r="B22" s="7" t="s">
        <v>120</v>
      </c>
      <c r="C22" s="5"/>
      <c r="D22" s="5"/>
      <c r="E22" s="5"/>
      <c r="F22" s="107"/>
      <c r="G22" s="113"/>
      <c r="H22" s="5"/>
      <c r="I22" s="5"/>
      <c r="J22" s="35"/>
      <c r="K22" s="5"/>
      <c r="L22" s="35"/>
      <c r="M22" s="37" t="e">
        <f t="shared" si="0"/>
        <v>#DIV/0!</v>
      </c>
      <c r="O22" s="147"/>
    </row>
    <row r="23" spans="1:15" s="15" customFormat="1" x14ac:dyDescent="0.3">
      <c r="A23" s="17"/>
      <c r="B23" s="18"/>
      <c r="C23" s="17"/>
      <c r="D23" s="17"/>
      <c r="E23" s="17"/>
      <c r="F23" s="109"/>
      <c r="G23" s="110"/>
      <c r="H23" s="17"/>
      <c r="I23" s="17"/>
      <c r="J23" s="36"/>
      <c r="K23" s="17"/>
      <c r="L23" s="35"/>
      <c r="M23" s="37" t="e">
        <f t="shared" si="0"/>
        <v>#DIV/0!</v>
      </c>
      <c r="O23" s="148"/>
    </row>
    <row r="24" spans="1:15" s="24" customFormat="1" ht="15" x14ac:dyDescent="0.25">
      <c r="A24" s="21">
        <f>A16+1</f>
        <v>3</v>
      </c>
      <c r="B24" s="22" t="s">
        <v>119</v>
      </c>
      <c r="C24" s="75" t="s">
        <v>3</v>
      </c>
      <c r="D24" s="23"/>
      <c r="E24" s="23"/>
      <c r="F24" s="41" t="s">
        <v>249</v>
      </c>
      <c r="G24" s="72">
        <f>SUMIF(C25:C30,"",G25:G30)</f>
        <v>150577.05882352943</v>
      </c>
      <c r="H24" s="23"/>
      <c r="I24" s="23"/>
      <c r="J24" s="103">
        <f>SUMIF(C25:C29,"",J25:J29)</f>
        <v>176175.15882352943</v>
      </c>
      <c r="K24" s="23"/>
      <c r="L24" s="103">
        <f>SUM(L25:L28)</f>
        <v>213171.94217647059</v>
      </c>
      <c r="M24" s="37">
        <f t="shared" si="0"/>
        <v>1.21</v>
      </c>
      <c r="O24" s="146" t="s">
        <v>210</v>
      </c>
    </row>
    <row r="25" spans="1:15" s="16" customFormat="1" ht="15" outlineLevel="1" x14ac:dyDescent="0.25">
      <c r="A25" s="4">
        <f>A24+0.01</f>
        <v>3.01</v>
      </c>
      <c r="B25" s="6" t="s">
        <v>118</v>
      </c>
      <c r="C25" s="5"/>
      <c r="D25" s="5">
        <v>222.60000000000002</v>
      </c>
      <c r="E25" s="5" t="s">
        <v>144</v>
      </c>
      <c r="F25" s="107">
        <f>330/1.02</f>
        <v>323.52941176470586</v>
      </c>
      <c r="G25" s="108">
        <f>F25*D25</f>
        <v>72017.647058823524</v>
      </c>
      <c r="H25" s="50">
        <f>$H$4</f>
        <v>1.17</v>
      </c>
      <c r="I25" s="53">
        <f>H25*F25</f>
        <v>378.52941176470586</v>
      </c>
      <c r="J25" s="35">
        <f>I25*D25</f>
        <v>84260.647058823539</v>
      </c>
      <c r="K25" s="50">
        <f>$L$4</f>
        <v>1.21</v>
      </c>
      <c r="L25" s="35">
        <f>J25*K25</f>
        <v>101955.38294117647</v>
      </c>
      <c r="M25" s="37">
        <f t="shared" si="0"/>
        <v>1.21</v>
      </c>
      <c r="O25" s="147"/>
    </row>
    <row r="26" spans="1:15" s="16" customFormat="1" ht="27" outlineLevel="1" x14ac:dyDescent="0.25">
      <c r="A26" s="4">
        <f>A25+0.01</f>
        <v>3.0199999999999996</v>
      </c>
      <c r="B26" s="6" t="s">
        <v>117</v>
      </c>
      <c r="C26" s="5"/>
      <c r="D26" s="5">
        <v>1</v>
      </c>
      <c r="E26" s="5" t="s">
        <v>143</v>
      </c>
      <c r="F26" s="107">
        <f>3000/1.02</f>
        <v>2941.1764705882351</v>
      </c>
      <c r="G26" s="108">
        <f t="shared" ref="G26:G28" si="5">F26*D26</f>
        <v>2941.1764705882351</v>
      </c>
      <c r="H26" s="45">
        <f>$H$4</f>
        <v>1.17</v>
      </c>
      <c r="I26" s="53">
        <f>H26*F26</f>
        <v>3441.1764705882347</v>
      </c>
      <c r="J26" s="35">
        <f>I26*D26</f>
        <v>3441.1764705882347</v>
      </c>
      <c r="K26" s="50">
        <f>$L$4</f>
        <v>1.21</v>
      </c>
      <c r="L26" s="35">
        <f>J26*K26</f>
        <v>4163.823529411764</v>
      </c>
      <c r="M26" s="37">
        <f t="shared" si="0"/>
        <v>1.21</v>
      </c>
      <c r="O26" s="147"/>
    </row>
    <row r="27" spans="1:15" s="16" customFormat="1" ht="15" outlineLevel="1" x14ac:dyDescent="0.25">
      <c r="A27" s="4">
        <f>A26+0.01</f>
        <v>3.0299999999999994</v>
      </c>
      <c r="B27" s="6" t="s">
        <v>116</v>
      </c>
      <c r="C27" s="5"/>
      <c r="D27" s="5">
        <v>222.60000000000002</v>
      </c>
      <c r="E27" s="5" t="s">
        <v>144</v>
      </c>
      <c r="F27" s="107">
        <f>100/1.02</f>
        <v>98.039215686274503</v>
      </c>
      <c r="G27" s="108">
        <f t="shared" si="5"/>
        <v>21823.529411764706</v>
      </c>
      <c r="H27" s="50">
        <f>$H$4</f>
        <v>1.17</v>
      </c>
      <c r="I27" s="53">
        <f>H27*F27</f>
        <v>114.70588235294116</v>
      </c>
      <c r="J27" s="35">
        <f>I27*D27</f>
        <v>25533.529411764706</v>
      </c>
      <c r="K27" s="50">
        <f>$L$4</f>
        <v>1.21</v>
      </c>
      <c r="L27" s="35">
        <f>J27*K27</f>
        <v>30895.570588235292</v>
      </c>
      <c r="M27" s="37">
        <f t="shared" si="0"/>
        <v>1.21</v>
      </c>
      <c r="O27" s="147"/>
    </row>
    <row r="28" spans="1:15" s="16" customFormat="1" ht="15" outlineLevel="1" x14ac:dyDescent="0.25">
      <c r="A28" s="4">
        <f>A27+0.01</f>
        <v>3.0399999999999991</v>
      </c>
      <c r="B28" s="6" t="s">
        <v>115</v>
      </c>
      <c r="C28" s="5"/>
      <c r="D28" s="5">
        <v>1</v>
      </c>
      <c r="E28" s="5" t="s">
        <v>143</v>
      </c>
      <c r="F28" s="107">
        <f>(32.7*1678)/1.02</f>
        <v>53794.705882352944</v>
      </c>
      <c r="G28" s="108">
        <f t="shared" si="5"/>
        <v>53794.705882352944</v>
      </c>
      <c r="H28" s="45">
        <f>$H$4</f>
        <v>1.17</v>
      </c>
      <c r="I28" s="53">
        <f>H28*F28</f>
        <v>62939.805882352943</v>
      </c>
      <c r="J28" s="35">
        <f>I28*D28</f>
        <v>62939.805882352943</v>
      </c>
      <c r="K28" s="50">
        <f>$L$4</f>
        <v>1.21</v>
      </c>
      <c r="L28" s="35">
        <f>J28*K28</f>
        <v>76157.165117647062</v>
      </c>
      <c r="M28" s="37">
        <f t="shared" si="0"/>
        <v>1.21</v>
      </c>
      <c r="O28" s="147"/>
    </row>
    <row r="29" spans="1:15" s="16" customFormat="1" ht="15" outlineLevel="1" x14ac:dyDescent="0.25">
      <c r="A29" s="4"/>
      <c r="B29" s="7" t="s">
        <v>114</v>
      </c>
      <c r="C29" s="5"/>
      <c r="D29" s="5"/>
      <c r="E29" s="5"/>
      <c r="F29" s="107"/>
      <c r="G29" s="114"/>
      <c r="H29" s="5"/>
      <c r="I29" s="5"/>
      <c r="J29" s="35"/>
      <c r="K29" s="5"/>
      <c r="L29" s="35"/>
      <c r="M29" s="37" t="e">
        <f t="shared" si="0"/>
        <v>#DIV/0!</v>
      </c>
      <c r="O29" s="147"/>
    </row>
    <row r="30" spans="1:15" s="15" customFormat="1" x14ac:dyDescent="0.3">
      <c r="A30" s="17"/>
      <c r="B30" s="18"/>
      <c r="C30" s="17"/>
      <c r="D30" s="17"/>
      <c r="E30" s="17"/>
      <c r="F30" s="109"/>
      <c r="G30" s="110"/>
      <c r="H30" s="17"/>
      <c r="I30" s="17"/>
      <c r="J30" s="36"/>
      <c r="K30" s="17"/>
      <c r="L30" s="35"/>
      <c r="M30" s="37" t="e">
        <f t="shared" si="0"/>
        <v>#DIV/0!</v>
      </c>
      <c r="O30" s="148"/>
    </row>
    <row r="31" spans="1:15" s="24" customFormat="1" ht="15" x14ac:dyDescent="0.25">
      <c r="A31" s="21">
        <f>A24+1</f>
        <v>4</v>
      </c>
      <c r="B31" s="22" t="s">
        <v>113</v>
      </c>
      <c r="C31" s="75" t="s">
        <v>3</v>
      </c>
      <c r="D31" s="23"/>
      <c r="E31" s="23"/>
      <c r="F31" s="92" t="s">
        <v>180</v>
      </c>
      <c r="G31" s="72">
        <f>SUMIF(C32:C42,"",G32:G42)</f>
        <v>183454.8</v>
      </c>
      <c r="H31" s="23"/>
      <c r="I31" s="23"/>
      <c r="J31" s="103">
        <f>SUMIF(C32:C42,"",J32:J42)</f>
        <v>214642.11600000001</v>
      </c>
      <c r="K31" s="23"/>
      <c r="L31" s="103">
        <f>SUM(L32:L42)</f>
        <v>259716.96035999994</v>
      </c>
      <c r="M31" s="37">
        <f t="shared" si="0"/>
        <v>1.2099999999999997</v>
      </c>
      <c r="O31" s="146" t="s">
        <v>212</v>
      </c>
    </row>
    <row r="32" spans="1:15" s="16" customFormat="1" ht="15" outlineLevel="1" x14ac:dyDescent="0.25">
      <c r="A32" s="4">
        <f>A31+0.01</f>
        <v>4.01</v>
      </c>
      <c r="B32" s="6" t="s">
        <v>112</v>
      </c>
      <c r="C32" s="5"/>
      <c r="D32" s="5">
        <f>178.2-29</f>
        <v>149.19999999999999</v>
      </c>
      <c r="E32" s="5" t="s">
        <v>144</v>
      </c>
      <c r="F32" s="107">
        <v>460</v>
      </c>
      <c r="G32" s="108">
        <f>F32*D32</f>
        <v>68632</v>
      </c>
      <c r="H32" s="45">
        <f t="shared" ref="H32:H42" si="6">$H$4</f>
        <v>1.17</v>
      </c>
      <c r="I32" s="53">
        <f t="shared" ref="I32:I42" si="7">H32*F32</f>
        <v>538.19999999999993</v>
      </c>
      <c r="J32" s="35">
        <f t="shared" ref="J32:J42" si="8">I32*D32</f>
        <v>80299.439999999988</v>
      </c>
      <c r="K32" s="45">
        <f t="shared" ref="K32:K42" si="9">$L$4</f>
        <v>1.21</v>
      </c>
      <c r="L32" s="35">
        <f t="shared" ref="L32:L42" si="10">J32*K32</f>
        <v>97162.322399999975</v>
      </c>
      <c r="M32" s="37">
        <f t="shared" si="0"/>
        <v>1.21</v>
      </c>
      <c r="O32" s="147"/>
    </row>
    <row r="33" spans="1:17" s="16" customFormat="1" ht="15" outlineLevel="1" x14ac:dyDescent="0.25">
      <c r="A33" s="4">
        <f>A32+0.01</f>
        <v>4.0199999999999996</v>
      </c>
      <c r="B33" s="6" t="s">
        <v>111</v>
      </c>
      <c r="C33" s="5"/>
      <c r="D33" s="5">
        <f>71.5-15</f>
        <v>56.5</v>
      </c>
      <c r="E33" s="5" t="s">
        <v>144</v>
      </c>
      <c r="F33" s="107">
        <v>500</v>
      </c>
      <c r="G33" s="108">
        <f t="shared" ref="G33:G42" si="11">F33*D33</f>
        <v>28250</v>
      </c>
      <c r="H33" s="45">
        <f t="shared" si="6"/>
        <v>1.17</v>
      </c>
      <c r="I33" s="53">
        <f t="shared" si="7"/>
        <v>585</v>
      </c>
      <c r="J33" s="35">
        <f t="shared" si="8"/>
        <v>33052.5</v>
      </c>
      <c r="K33" s="45">
        <f t="shared" si="9"/>
        <v>1.21</v>
      </c>
      <c r="L33" s="35">
        <f t="shared" si="10"/>
        <v>39993.525000000001</v>
      </c>
      <c r="M33" s="37">
        <f t="shared" si="0"/>
        <v>1.21</v>
      </c>
      <c r="O33" s="147"/>
    </row>
    <row r="34" spans="1:17" s="16" customFormat="1" ht="15" outlineLevel="1" x14ac:dyDescent="0.25">
      <c r="A34" s="4">
        <f>A33+0.01</f>
        <v>4.0299999999999994</v>
      </c>
      <c r="B34" s="6" t="s">
        <v>110</v>
      </c>
      <c r="C34" s="5"/>
      <c r="D34" s="5">
        <f>77-17</f>
        <v>60</v>
      </c>
      <c r="E34" s="5" t="s">
        <v>144</v>
      </c>
      <c r="F34" s="107">
        <v>520</v>
      </c>
      <c r="G34" s="108">
        <f t="shared" si="11"/>
        <v>31200</v>
      </c>
      <c r="H34" s="45">
        <f t="shared" si="6"/>
        <v>1.17</v>
      </c>
      <c r="I34" s="53">
        <f t="shared" si="7"/>
        <v>608.4</v>
      </c>
      <c r="J34" s="35">
        <f t="shared" si="8"/>
        <v>36504</v>
      </c>
      <c r="K34" s="45">
        <f t="shared" si="9"/>
        <v>1.21</v>
      </c>
      <c r="L34" s="35">
        <f t="shared" si="10"/>
        <v>44169.84</v>
      </c>
      <c r="M34" s="37">
        <f t="shared" si="0"/>
        <v>1.21</v>
      </c>
      <c r="O34" s="147"/>
    </row>
    <row r="35" spans="1:17" s="16" customFormat="1" ht="15" outlineLevel="1" x14ac:dyDescent="0.25">
      <c r="A35" s="4">
        <f>A34+0.01</f>
        <v>4.0399999999999991</v>
      </c>
      <c r="B35" s="6" t="s">
        <v>109</v>
      </c>
      <c r="C35" s="5"/>
      <c r="D35" s="5">
        <f>70.4-27</f>
        <v>43.400000000000006</v>
      </c>
      <c r="E35" s="5" t="s">
        <v>145</v>
      </c>
      <c r="F35" s="107">
        <v>250</v>
      </c>
      <c r="G35" s="108">
        <f t="shared" si="11"/>
        <v>10850.000000000002</v>
      </c>
      <c r="H35" s="45">
        <f t="shared" si="6"/>
        <v>1.17</v>
      </c>
      <c r="I35" s="53">
        <f t="shared" si="7"/>
        <v>292.5</v>
      </c>
      <c r="J35" s="35">
        <f t="shared" si="8"/>
        <v>12694.500000000002</v>
      </c>
      <c r="K35" s="45">
        <f t="shared" si="9"/>
        <v>1.21</v>
      </c>
      <c r="L35" s="35">
        <f t="shared" si="10"/>
        <v>15360.345000000001</v>
      </c>
      <c r="M35" s="37">
        <f t="shared" si="0"/>
        <v>1.21</v>
      </c>
      <c r="O35" s="147"/>
    </row>
    <row r="36" spans="1:17" s="16" customFormat="1" ht="15" outlineLevel="1" x14ac:dyDescent="0.25">
      <c r="A36" s="4">
        <f t="shared" ref="A36:A42" si="12">A35+0.01</f>
        <v>4.0499999999999989</v>
      </c>
      <c r="B36" s="6" t="s">
        <v>108</v>
      </c>
      <c r="C36" s="5"/>
      <c r="D36" s="5">
        <v>7</v>
      </c>
      <c r="E36" s="5" t="s">
        <v>145</v>
      </c>
      <c r="F36" s="107">
        <v>240</v>
      </c>
      <c r="G36" s="108">
        <f t="shared" si="11"/>
        <v>1680</v>
      </c>
      <c r="H36" s="45">
        <f t="shared" si="6"/>
        <v>1.17</v>
      </c>
      <c r="I36" s="53">
        <f t="shared" si="7"/>
        <v>280.79999999999995</v>
      </c>
      <c r="J36" s="35">
        <f t="shared" si="8"/>
        <v>1965.5999999999997</v>
      </c>
      <c r="K36" s="45">
        <f t="shared" si="9"/>
        <v>1.21</v>
      </c>
      <c r="L36" s="35">
        <f t="shared" si="10"/>
        <v>2378.3759999999997</v>
      </c>
      <c r="M36" s="37">
        <f t="shared" si="0"/>
        <v>1.21</v>
      </c>
      <c r="O36" s="147"/>
    </row>
    <row r="37" spans="1:17" s="16" customFormat="1" ht="15" outlineLevel="1" x14ac:dyDescent="0.25">
      <c r="A37" s="4">
        <f t="shared" si="12"/>
        <v>4.0599999999999987</v>
      </c>
      <c r="B37" s="6" t="s">
        <v>107</v>
      </c>
      <c r="C37" s="5"/>
      <c r="D37" s="5">
        <f>95.7-(8*2.6)</f>
        <v>74.900000000000006</v>
      </c>
      <c r="E37" s="5" t="s">
        <v>145</v>
      </c>
      <c r="F37" s="107">
        <v>120</v>
      </c>
      <c r="G37" s="108">
        <f t="shared" si="11"/>
        <v>8988</v>
      </c>
      <c r="H37" s="45">
        <f t="shared" si="6"/>
        <v>1.17</v>
      </c>
      <c r="I37" s="53">
        <f t="shared" si="7"/>
        <v>140.39999999999998</v>
      </c>
      <c r="J37" s="35">
        <f t="shared" si="8"/>
        <v>10515.96</v>
      </c>
      <c r="K37" s="45">
        <f t="shared" si="9"/>
        <v>1.21</v>
      </c>
      <c r="L37" s="35">
        <f t="shared" si="10"/>
        <v>12724.311599999999</v>
      </c>
      <c r="M37" s="37">
        <f t="shared" si="0"/>
        <v>1.21</v>
      </c>
      <c r="O37" s="147"/>
    </row>
    <row r="38" spans="1:17" s="16" customFormat="1" ht="15" outlineLevel="1" x14ac:dyDescent="0.25">
      <c r="A38" s="4">
        <f t="shared" si="12"/>
        <v>4.0699999999999985</v>
      </c>
      <c r="B38" s="6" t="s">
        <v>106</v>
      </c>
      <c r="C38" s="5"/>
      <c r="D38" s="5">
        <f>15.4-(2*2.26)</f>
        <v>10.88</v>
      </c>
      <c r="E38" s="5" t="s">
        <v>145</v>
      </c>
      <c r="F38" s="107">
        <v>60</v>
      </c>
      <c r="G38" s="108">
        <f t="shared" si="11"/>
        <v>652.80000000000007</v>
      </c>
      <c r="H38" s="45">
        <f t="shared" si="6"/>
        <v>1.17</v>
      </c>
      <c r="I38" s="53">
        <f t="shared" si="7"/>
        <v>70.199999999999989</v>
      </c>
      <c r="J38" s="35">
        <f t="shared" si="8"/>
        <v>763.77599999999995</v>
      </c>
      <c r="K38" s="45">
        <f t="shared" si="9"/>
        <v>1.21</v>
      </c>
      <c r="L38" s="35">
        <f t="shared" si="10"/>
        <v>924.16895999999997</v>
      </c>
      <c r="M38" s="37">
        <f t="shared" si="0"/>
        <v>1.21</v>
      </c>
      <c r="O38" s="147"/>
    </row>
    <row r="39" spans="1:17" s="16" customFormat="1" ht="15" outlineLevel="1" x14ac:dyDescent="0.25">
      <c r="A39" s="4">
        <f t="shared" si="12"/>
        <v>4.0799999999999983</v>
      </c>
      <c r="B39" s="6" t="s">
        <v>94</v>
      </c>
      <c r="C39" s="5"/>
      <c r="D39" s="5">
        <f>81.4-(2*2.6)</f>
        <v>76.2</v>
      </c>
      <c r="E39" s="5" t="s">
        <v>145</v>
      </c>
      <c r="F39" s="107">
        <v>65</v>
      </c>
      <c r="G39" s="108">
        <f t="shared" si="11"/>
        <v>4953</v>
      </c>
      <c r="H39" s="45">
        <f t="shared" si="6"/>
        <v>1.17</v>
      </c>
      <c r="I39" s="53">
        <f t="shared" si="7"/>
        <v>76.05</v>
      </c>
      <c r="J39" s="35">
        <f t="shared" si="8"/>
        <v>5795.01</v>
      </c>
      <c r="K39" s="45">
        <f t="shared" si="9"/>
        <v>1.21</v>
      </c>
      <c r="L39" s="35">
        <f t="shared" si="10"/>
        <v>7011.9620999999997</v>
      </c>
      <c r="M39" s="37">
        <f t="shared" si="0"/>
        <v>1.21</v>
      </c>
      <c r="O39" s="147"/>
    </row>
    <row r="40" spans="1:17" s="16" customFormat="1" ht="27" outlineLevel="1" x14ac:dyDescent="0.25">
      <c r="A40" s="4">
        <f t="shared" si="12"/>
        <v>4.0899999999999981</v>
      </c>
      <c r="B40" s="6" t="s">
        <v>105</v>
      </c>
      <c r="C40" s="5"/>
      <c r="D40" s="5">
        <v>7</v>
      </c>
      <c r="E40" s="5" t="s">
        <v>146</v>
      </c>
      <c r="F40" s="107">
        <v>2800</v>
      </c>
      <c r="G40" s="108">
        <f t="shared" si="11"/>
        <v>19600</v>
      </c>
      <c r="H40" s="45">
        <f t="shared" si="6"/>
        <v>1.17</v>
      </c>
      <c r="I40" s="53">
        <f t="shared" si="7"/>
        <v>3276</v>
      </c>
      <c r="J40" s="35">
        <f t="shared" si="8"/>
        <v>22932</v>
      </c>
      <c r="K40" s="45">
        <f t="shared" si="9"/>
        <v>1.21</v>
      </c>
      <c r="L40" s="35">
        <f t="shared" si="10"/>
        <v>27747.719999999998</v>
      </c>
      <c r="M40" s="37">
        <f t="shared" si="0"/>
        <v>1.21</v>
      </c>
      <c r="O40" s="147"/>
    </row>
    <row r="41" spans="1:17" s="16" customFormat="1" ht="40.5" outlineLevel="1" x14ac:dyDescent="0.25">
      <c r="A41" s="4">
        <f t="shared" si="12"/>
        <v>4.0999999999999979</v>
      </c>
      <c r="B41" s="6" t="s">
        <v>104</v>
      </c>
      <c r="C41" s="5"/>
      <c r="D41" s="5">
        <v>12</v>
      </c>
      <c r="E41" s="5" t="s">
        <v>146</v>
      </c>
      <c r="F41" s="107">
        <v>300</v>
      </c>
      <c r="G41" s="108">
        <f t="shared" si="11"/>
        <v>3600</v>
      </c>
      <c r="H41" s="45">
        <f t="shared" si="6"/>
        <v>1.17</v>
      </c>
      <c r="I41" s="53">
        <f t="shared" si="7"/>
        <v>351</v>
      </c>
      <c r="J41" s="35">
        <f t="shared" si="8"/>
        <v>4212</v>
      </c>
      <c r="K41" s="45">
        <f t="shared" si="9"/>
        <v>1.21</v>
      </c>
      <c r="L41" s="35">
        <f t="shared" si="10"/>
        <v>5096.5199999999995</v>
      </c>
      <c r="M41" s="37">
        <f t="shared" si="0"/>
        <v>1.21</v>
      </c>
      <c r="O41" s="147"/>
      <c r="P41" s="94"/>
      <c r="Q41" s="94"/>
    </row>
    <row r="42" spans="1:17" s="16" customFormat="1" ht="15" outlineLevel="1" x14ac:dyDescent="0.25">
      <c r="A42" s="4">
        <f t="shared" si="12"/>
        <v>4.1099999999999977</v>
      </c>
      <c r="B42" s="6" t="s">
        <v>103</v>
      </c>
      <c r="C42" s="5"/>
      <c r="D42" s="5">
        <v>112.2</v>
      </c>
      <c r="E42" s="5" t="s">
        <v>145</v>
      </c>
      <c r="F42" s="107">
        <v>45</v>
      </c>
      <c r="G42" s="108">
        <f t="shared" si="11"/>
        <v>5049</v>
      </c>
      <c r="H42" s="45">
        <f t="shared" si="6"/>
        <v>1.17</v>
      </c>
      <c r="I42" s="53">
        <f t="shared" si="7"/>
        <v>52.65</v>
      </c>
      <c r="J42" s="35">
        <f t="shared" si="8"/>
        <v>5907.33</v>
      </c>
      <c r="K42" s="45">
        <f t="shared" si="9"/>
        <v>1.21</v>
      </c>
      <c r="L42" s="35">
        <f t="shared" si="10"/>
        <v>7147.8692999999994</v>
      </c>
      <c r="M42" s="37">
        <f t="shared" si="0"/>
        <v>1.21</v>
      </c>
      <c r="O42" s="147"/>
    </row>
    <row r="43" spans="1:17" s="16" customFormat="1" ht="38.25" outlineLevel="1" x14ac:dyDescent="0.25">
      <c r="A43" s="4"/>
      <c r="B43" s="7" t="s">
        <v>101</v>
      </c>
      <c r="C43" s="5"/>
      <c r="D43" s="5"/>
      <c r="E43" s="5"/>
      <c r="F43" s="165"/>
      <c r="G43" s="165"/>
      <c r="H43" s="5"/>
      <c r="I43" s="5"/>
      <c r="J43" s="35"/>
      <c r="K43" s="5"/>
      <c r="L43" s="35"/>
      <c r="M43" s="37" t="e">
        <f t="shared" si="0"/>
        <v>#DIV/0!</v>
      </c>
      <c r="O43" s="147"/>
    </row>
    <row r="44" spans="1:17" s="16" customFormat="1" ht="15" x14ac:dyDescent="0.25">
      <c r="A44" s="4"/>
      <c r="B44" s="7"/>
      <c r="C44" s="5"/>
      <c r="D44" s="5"/>
      <c r="E44" s="5"/>
      <c r="F44" s="129"/>
      <c r="G44" s="129"/>
      <c r="H44" s="5"/>
      <c r="I44" s="5"/>
      <c r="J44" s="35"/>
      <c r="K44" s="5"/>
      <c r="L44" s="35"/>
      <c r="M44" s="37" t="e">
        <f t="shared" si="0"/>
        <v>#DIV/0!</v>
      </c>
      <c r="O44" s="147"/>
    </row>
    <row r="45" spans="1:17" s="24" customFormat="1" ht="15" x14ac:dyDescent="0.25">
      <c r="A45" s="21">
        <f>A31+1</f>
        <v>5</v>
      </c>
      <c r="B45" s="22" t="s">
        <v>201</v>
      </c>
      <c r="C45" s="75" t="s">
        <v>3</v>
      </c>
      <c r="D45" s="23"/>
      <c r="E45" s="23"/>
      <c r="F45" s="92" t="s">
        <v>180</v>
      </c>
      <c r="G45" s="72">
        <f>SUMIF(C46,"",G46)</f>
        <v>31261.300000000003</v>
      </c>
      <c r="H45" s="23"/>
      <c r="I45" s="23"/>
      <c r="J45" s="103">
        <f>SUMIF(C46,"",J46)</f>
        <v>36575.721000000005</v>
      </c>
      <c r="K45" s="23"/>
      <c r="L45" s="103">
        <f>SUM(L46)</f>
        <v>44256.622410000004</v>
      </c>
      <c r="M45" s="37">
        <f t="shared" si="0"/>
        <v>1.21</v>
      </c>
      <c r="O45" s="146" t="s">
        <v>214</v>
      </c>
    </row>
    <row r="46" spans="1:17" s="16" customFormat="1" ht="15" outlineLevel="1" x14ac:dyDescent="0.25">
      <c r="A46" s="4">
        <f>A45+0.01</f>
        <v>5.01</v>
      </c>
      <c r="B46" s="6" t="s">
        <v>102</v>
      </c>
      <c r="C46" s="5"/>
      <c r="D46" s="5">
        <f>D36+D37+D38+D39</f>
        <v>168.98000000000002</v>
      </c>
      <c r="E46" s="5" t="s">
        <v>144</v>
      </c>
      <c r="F46" s="107">
        <v>185</v>
      </c>
      <c r="G46" s="108">
        <f t="shared" ref="G46" si="13">F46*D46</f>
        <v>31261.300000000003</v>
      </c>
      <c r="H46" s="45">
        <f t="shared" ref="H46" si="14">$H$4</f>
        <v>1.17</v>
      </c>
      <c r="I46" s="53">
        <f t="shared" ref="I46" si="15">H46*F46</f>
        <v>216.45</v>
      </c>
      <c r="J46" s="35">
        <f t="shared" ref="J46" si="16">I46*D46</f>
        <v>36575.721000000005</v>
      </c>
      <c r="K46" s="45">
        <f t="shared" ref="K46" si="17">$L$4</f>
        <v>1.21</v>
      </c>
      <c r="L46" s="35">
        <f>J46*K46</f>
        <v>44256.622410000004</v>
      </c>
      <c r="M46" s="37">
        <f t="shared" si="0"/>
        <v>1.21</v>
      </c>
      <c r="O46" s="147"/>
    </row>
    <row r="47" spans="1:17" s="15" customFormat="1" x14ac:dyDescent="0.3">
      <c r="A47" s="17"/>
      <c r="B47" s="18"/>
      <c r="C47" s="17"/>
      <c r="D47" s="17"/>
      <c r="E47" s="17"/>
      <c r="F47" s="109"/>
      <c r="G47" s="110"/>
      <c r="H47" s="17"/>
      <c r="I47" s="17"/>
      <c r="J47" s="36"/>
      <c r="K47" s="17"/>
      <c r="L47" s="35"/>
      <c r="M47" s="37" t="e">
        <f t="shared" si="0"/>
        <v>#DIV/0!</v>
      </c>
      <c r="O47" s="148"/>
    </row>
    <row r="48" spans="1:17" s="24" customFormat="1" ht="15" x14ac:dyDescent="0.25">
      <c r="A48" s="21">
        <f>A45+1</f>
        <v>6</v>
      </c>
      <c r="B48" s="22" t="s">
        <v>100</v>
      </c>
      <c r="C48" s="75" t="s">
        <v>3</v>
      </c>
      <c r="D48" s="23"/>
      <c r="E48" s="23"/>
      <c r="F48" s="92" t="s">
        <v>180</v>
      </c>
      <c r="G48" s="72">
        <f>SUMIF(C49:C55,"",G49:G55)</f>
        <v>75306</v>
      </c>
      <c r="H48" s="23"/>
      <c r="I48" s="23"/>
      <c r="J48" s="103">
        <f>SUMIF(C49:C54,"",J49:J54)</f>
        <v>88108.01999999999</v>
      </c>
      <c r="K48" s="23"/>
      <c r="L48" s="103">
        <f>SUM(L49:L54)</f>
        <v>106610.70419999999</v>
      </c>
      <c r="M48" s="37">
        <f t="shared" si="0"/>
        <v>1.21</v>
      </c>
      <c r="O48" s="146" t="s">
        <v>220</v>
      </c>
    </row>
    <row r="49" spans="1:15" s="16" customFormat="1" ht="15" outlineLevel="1" x14ac:dyDescent="0.25">
      <c r="A49" s="4">
        <f>A48+0.01</f>
        <v>6.01</v>
      </c>
      <c r="B49" s="6" t="s">
        <v>99</v>
      </c>
      <c r="C49" s="5"/>
      <c r="D49" s="5">
        <v>176</v>
      </c>
      <c r="E49" s="5" t="s">
        <v>145</v>
      </c>
      <c r="F49" s="107">
        <v>360</v>
      </c>
      <c r="G49" s="108">
        <f>F49*D49</f>
        <v>63360</v>
      </c>
      <c r="H49" s="45">
        <f t="shared" ref="H49:H55" si="18">$H$4</f>
        <v>1.17</v>
      </c>
      <c r="I49" s="53">
        <f t="shared" ref="I49:I54" si="19">H49*F49</f>
        <v>421.2</v>
      </c>
      <c r="J49" s="35">
        <f t="shared" ref="J49:J54" si="20">I49*D49</f>
        <v>74131.199999999997</v>
      </c>
      <c r="K49" s="45">
        <f t="shared" ref="K49:K54" si="21">$L$4</f>
        <v>1.21</v>
      </c>
      <c r="L49" s="35">
        <f t="shared" ref="L49:L54" si="22">J49*K49</f>
        <v>89698.751999999993</v>
      </c>
      <c r="M49" s="37">
        <f t="shared" si="0"/>
        <v>1.21</v>
      </c>
      <c r="O49" s="147"/>
    </row>
    <row r="50" spans="1:15" s="16" customFormat="1" ht="15" outlineLevel="1" x14ac:dyDescent="0.25">
      <c r="A50" s="4">
        <f>A49+0.01</f>
        <v>6.02</v>
      </c>
      <c r="B50" s="6" t="s">
        <v>98</v>
      </c>
      <c r="C50" s="5"/>
      <c r="D50" s="5">
        <v>23.1</v>
      </c>
      <c r="E50" s="5" t="s">
        <v>145</v>
      </c>
      <c r="F50" s="107">
        <v>360</v>
      </c>
      <c r="G50" s="108">
        <f t="shared" ref="G50:G54" si="23">F50*D50</f>
        <v>8316</v>
      </c>
      <c r="H50" s="45">
        <f t="shared" si="18"/>
        <v>1.17</v>
      </c>
      <c r="I50" s="53">
        <f t="shared" si="19"/>
        <v>421.2</v>
      </c>
      <c r="J50" s="35">
        <f t="shared" si="20"/>
        <v>9729.7200000000012</v>
      </c>
      <c r="K50" s="45">
        <f t="shared" si="21"/>
        <v>1.21</v>
      </c>
      <c r="L50" s="35">
        <f t="shared" si="22"/>
        <v>11772.961200000002</v>
      </c>
      <c r="M50" s="37">
        <f t="shared" si="0"/>
        <v>1.21</v>
      </c>
      <c r="O50" s="147"/>
    </row>
    <row r="51" spans="1:15" s="16" customFormat="1" ht="15" outlineLevel="1" x14ac:dyDescent="0.25">
      <c r="A51" s="4">
        <f>A50+0.01</f>
        <v>6.0299999999999994</v>
      </c>
      <c r="B51" s="6" t="s">
        <v>97</v>
      </c>
      <c r="C51" s="5"/>
      <c r="D51" s="5">
        <v>6</v>
      </c>
      <c r="E51" s="5" t="s">
        <v>145</v>
      </c>
      <c r="F51" s="107">
        <v>45</v>
      </c>
      <c r="G51" s="108">
        <f t="shared" si="23"/>
        <v>270</v>
      </c>
      <c r="H51" s="45">
        <f t="shared" si="18"/>
        <v>1.17</v>
      </c>
      <c r="I51" s="53">
        <f t="shared" si="19"/>
        <v>52.65</v>
      </c>
      <c r="J51" s="35">
        <f t="shared" si="20"/>
        <v>315.89999999999998</v>
      </c>
      <c r="K51" s="45">
        <f t="shared" si="21"/>
        <v>1.21</v>
      </c>
      <c r="L51" s="35">
        <f t="shared" si="22"/>
        <v>382.23899999999998</v>
      </c>
      <c r="M51" s="37">
        <f t="shared" si="0"/>
        <v>1.21</v>
      </c>
      <c r="O51" s="147"/>
    </row>
    <row r="52" spans="1:15" s="16" customFormat="1" ht="15" outlineLevel="1" x14ac:dyDescent="0.25">
      <c r="A52" s="4">
        <f>A51+0.01</f>
        <v>6.0399999999999991</v>
      </c>
      <c r="B52" s="6" t="s">
        <v>96</v>
      </c>
      <c r="C52" s="5"/>
      <c r="D52" s="5">
        <v>33</v>
      </c>
      <c r="E52" s="5" t="s">
        <v>146</v>
      </c>
      <c r="F52" s="107">
        <v>45</v>
      </c>
      <c r="G52" s="108">
        <f t="shared" si="23"/>
        <v>1485</v>
      </c>
      <c r="H52" s="45">
        <f t="shared" si="18"/>
        <v>1.17</v>
      </c>
      <c r="I52" s="53">
        <f t="shared" si="19"/>
        <v>52.65</v>
      </c>
      <c r="J52" s="35">
        <f t="shared" si="20"/>
        <v>1737.45</v>
      </c>
      <c r="K52" s="45">
        <f t="shared" si="21"/>
        <v>1.21</v>
      </c>
      <c r="L52" s="35">
        <f t="shared" si="22"/>
        <v>2102.3145</v>
      </c>
      <c r="M52" s="37">
        <f t="shared" si="0"/>
        <v>1.21</v>
      </c>
      <c r="O52" s="147"/>
    </row>
    <row r="53" spans="1:15" s="16" customFormat="1" ht="15" outlineLevel="1" x14ac:dyDescent="0.25">
      <c r="A53" s="4">
        <f t="shared" ref="A53:A54" si="24">A52+0.01</f>
        <v>6.0499999999999989</v>
      </c>
      <c r="B53" s="6" t="s">
        <v>95</v>
      </c>
      <c r="C53" s="5"/>
      <c r="D53" s="5">
        <v>5</v>
      </c>
      <c r="E53" s="5" t="s">
        <v>146</v>
      </c>
      <c r="F53" s="107">
        <v>50</v>
      </c>
      <c r="G53" s="108">
        <f t="shared" si="23"/>
        <v>250</v>
      </c>
      <c r="H53" s="45">
        <f t="shared" si="18"/>
        <v>1.17</v>
      </c>
      <c r="I53" s="53">
        <f t="shared" si="19"/>
        <v>58.5</v>
      </c>
      <c r="J53" s="35">
        <f t="shared" si="20"/>
        <v>292.5</v>
      </c>
      <c r="K53" s="45">
        <f t="shared" si="21"/>
        <v>1.21</v>
      </c>
      <c r="L53" s="35">
        <f t="shared" si="22"/>
        <v>353.92500000000001</v>
      </c>
      <c r="M53" s="37">
        <f t="shared" si="0"/>
        <v>1.21</v>
      </c>
      <c r="O53" s="147"/>
    </row>
    <row r="54" spans="1:15" s="16" customFormat="1" ht="15" outlineLevel="1" x14ac:dyDescent="0.25">
      <c r="A54" s="4">
        <f t="shared" si="24"/>
        <v>6.0599999999999987</v>
      </c>
      <c r="B54" s="6" t="s">
        <v>94</v>
      </c>
      <c r="C54" s="5"/>
      <c r="D54" s="5">
        <v>25</v>
      </c>
      <c r="E54" s="5" t="s">
        <v>145</v>
      </c>
      <c r="F54" s="107">
        <v>65</v>
      </c>
      <c r="G54" s="108">
        <f t="shared" si="23"/>
        <v>1625</v>
      </c>
      <c r="H54" s="45">
        <f t="shared" si="18"/>
        <v>1.17</v>
      </c>
      <c r="I54" s="53">
        <f t="shared" si="19"/>
        <v>76.05</v>
      </c>
      <c r="J54" s="35">
        <f t="shared" si="20"/>
        <v>1901.25</v>
      </c>
      <c r="K54" s="45">
        <f t="shared" si="21"/>
        <v>1.21</v>
      </c>
      <c r="L54" s="35">
        <f t="shared" si="22"/>
        <v>2300.5124999999998</v>
      </c>
      <c r="M54" s="37">
        <f t="shared" si="0"/>
        <v>1.21</v>
      </c>
      <c r="O54" s="147"/>
    </row>
    <row r="55" spans="1:15" s="16" customFormat="1" ht="25.5" outlineLevel="1" x14ac:dyDescent="0.25">
      <c r="A55" s="4"/>
      <c r="B55" s="7" t="s">
        <v>93</v>
      </c>
      <c r="C55" s="5"/>
      <c r="D55" s="5"/>
      <c r="E55" s="5"/>
      <c r="F55" s="107"/>
      <c r="G55" s="114"/>
      <c r="H55" s="45">
        <f t="shared" si="18"/>
        <v>1.17</v>
      </c>
      <c r="I55" s="5"/>
      <c r="J55" s="35"/>
      <c r="K55" s="35"/>
      <c r="L55" s="35"/>
      <c r="M55" s="37" t="e">
        <f t="shared" si="0"/>
        <v>#DIV/0!</v>
      </c>
      <c r="O55" s="147"/>
    </row>
    <row r="56" spans="1:15" s="16" customFormat="1" ht="15" x14ac:dyDescent="0.25">
      <c r="A56" s="4"/>
      <c r="B56" s="7"/>
      <c r="C56" s="5"/>
      <c r="D56" s="5"/>
      <c r="E56" s="5"/>
      <c r="F56" s="107"/>
      <c r="G56" s="114"/>
      <c r="H56" s="5"/>
      <c r="I56" s="5"/>
      <c r="J56" s="35"/>
      <c r="K56" s="5"/>
      <c r="L56" s="35"/>
      <c r="M56" s="37" t="e">
        <f t="shared" si="0"/>
        <v>#DIV/0!</v>
      </c>
      <c r="O56" s="147"/>
    </row>
    <row r="57" spans="1:15" s="24" customFormat="1" ht="15" x14ac:dyDescent="0.25">
      <c r="A57" s="21">
        <f>A48+1</f>
        <v>7</v>
      </c>
      <c r="B57" s="22" t="s">
        <v>92</v>
      </c>
      <c r="C57" s="75" t="s">
        <v>3</v>
      </c>
      <c r="D57" s="23"/>
      <c r="E57" s="23"/>
      <c r="F57" s="92" t="s">
        <v>180</v>
      </c>
      <c r="G57" s="72">
        <f>SUMIF(C58:C60,"",G58:G60)</f>
        <v>26597.689075630253</v>
      </c>
      <c r="H57" s="23"/>
      <c r="I57" s="23"/>
      <c r="J57" s="103">
        <f>SUMIF(C58:C60,"",J58:J60)</f>
        <v>31119.29621848739</v>
      </c>
      <c r="K57" s="23"/>
      <c r="L57" s="103">
        <f>SUM(L58:L60)</f>
        <v>37654.348424369746</v>
      </c>
      <c r="M57" s="37">
        <f t="shared" si="0"/>
        <v>1.2100000000000002</v>
      </c>
      <c r="O57" s="146" t="s">
        <v>220</v>
      </c>
    </row>
    <row r="58" spans="1:15" s="16" customFormat="1" ht="27" outlineLevel="1" x14ac:dyDescent="0.25">
      <c r="A58" s="4">
        <f>A57+0.01</f>
        <v>7.01</v>
      </c>
      <c r="B58" s="6" t="s">
        <v>91</v>
      </c>
      <c r="C58" s="5"/>
      <c r="D58" s="5">
        <f>586.3/1.36</f>
        <v>431.10294117647055</v>
      </c>
      <c r="E58" s="5" t="s">
        <v>144</v>
      </c>
      <c r="F58" s="107">
        <v>44.465290806754219</v>
      </c>
      <c r="G58" s="108">
        <f>F58*D58</f>
        <v>19169.117647058822</v>
      </c>
      <c r="H58" s="45">
        <f t="shared" ref="H58:H60" si="25">$H$4</f>
        <v>1.17</v>
      </c>
      <c r="I58" s="53">
        <f>H58*F58</f>
        <v>52.024390243902431</v>
      </c>
      <c r="J58" s="35">
        <f>I58*D58</f>
        <v>22427.867647058818</v>
      </c>
      <c r="K58" s="45">
        <f>$L$4</f>
        <v>1.21</v>
      </c>
      <c r="L58" s="35">
        <f>J58*K58</f>
        <v>27137.719852941169</v>
      </c>
      <c r="M58" s="37">
        <f t="shared" si="0"/>
        <v>1.21</v>
      </c>
      <c r="O58" s="147"/>
    </row>
    <row r="59" spans="1:15" s="16" customFormat="1" ht="15" outlineLevel="1" x14ac:dyDescent="0.25">
      <c r="A59" s="46">
        <f>A58+0.01</f>
        <v>7.02</v>
      </c>
      <c r="B59" s="47" t="s">
        <v>90</v>
      </c>
      <c r="C59" s="48"/>
      <c r="D59" s="48">
        <f>352/1.4</f>
        <v>251.42857142857144</v>
      </c>
      <c r="E59" s="48" t="s">
        <v>145</v>
      </c>
      <c r="F59" s="49"/>
      <c r="G59" s="49" t="s">
        <v>181</v>
      </c>
      <c r="H59" s="50">
        <f t="shared" si="25"/>
        <v>1.17</v>
      </c>
      <c r="I59" s="56">
        <f>H59*F59</f>
        <v>0</v>
      </c>
      <c r="J59" s="51">
        <f>I59*D59</f>
        <v>0</v>
      </c>
      <c r="K59" s="50">
        <f>$L$4</f>
        <v>1.21</v>
      </c>
      <c r="L59" s="52" t="s">
        <v>159</v>
      </c>
      <c r="M59" s="37" t="e">
        <f t="shared" si="0"/>
        <v>#VALUE!</v>
      </c>
      <c r="O59" s="147"/>
    </row>
    <row r="60" spans="1:15" s="16" customFormat="1" ht="15" outlineLevel="1" x14ac:dyDescent="0.25">
      <c r="A60" s="4">
        <f>A59+0.01</f>
        <v>7.0299999999999994</v>
      </c>
      <c r="B60" s="6" t="s">
        <v>89</v>
      </c>
      <c r="C60" s="5"/>
      <c r="D60" s="5">
        <f>208/1.4</f>
        <v>148.57142857142858</v>
      </c>
      <c r="E60" s="5" t="s">
        <v>145</v>
      </c>
      <c r="F60" s="107">
        <v>50</v>
      </c>
      <c r="G60" s="108">
        <f>F60*D60</f>
        <v>7428.5714285714294</v>
      </c>
      <c r="H60" s="45">
        <f t="shared" si="25"/>
        <v>1.17</v>
      </c>
      <c r="I60" s="53">
        <f>H60*F60</f>
        <v>58.5</v>
      </c>
      <c r="J60" s="35">
        <f>I60*D60</f>
        <v>8691.4285714285725</v>
      </c>
      <c r="K60" s="45">
        <f>$L$4</f>
        <v>1.21</v>
      </c>
      <c r="L60" s="35">
        <f t="shared" ref="L60:L74" si="26">J60*K60</f>
        <v>10516.628571428573</v>
      </c>
      <c r="M60" s="37">
        <f t="shared" si="0"/>
        <v>1.21</v>
      </c>
      <c r="O60" s="147"/>
    </row>
    <row r="61" spans="1:15" s="16" customFormat="1" ht="34.5" customHeight="1" outlineLevel="1" x14ac:dyDescent="0.25">
      <c r="A61" s="4"/>
      <c r="B61" s="7" t="s">
        <v>88</v>
      </c>
      <c r="C61" s="5"/>
      <c r="D61" s="5"/>
      <c r="E61" s="5"/>
      <c r="F61" s="112"/>
      <c r="G61" s="113"/>
      <c r="H61" s="5"/>
      <c r="I61" s="5"/>
      <c r="J61" s="35"/>
      <c r="K61" s="5"/>
      <c r="L61" s="35"/>
      <c r="M61" s="37" t="e">
        <f t="shared" si="0"/>
        <v>#DIV/0!</v>
      </c>
      <c r="O61" s="147"/>
    </row>
    <row r="62" spans="1:15" s="15" customFormat="1" x14ac:dyDescent="0.3">
      <c r="A62" s="17"/>
      <c r="B62" s="18"/>
      <c r="C62" s="17"/>
      <c r="D62" s="17"/>
      <c r="E62" s="17"/>
      <c r="F62" s="109" t="s">
        <v>182</v>
      </c>
      <c r="G62" s="116">
        <f>G57+G48+G31+G45</f>
        <v>316619.78907563019</v>
      </c>
      <c r="H62" s="17"/>
      <c r="I62" s="17"/>
      <c r="J62" s="36"/>
      <c r="K62" s="17"/>
      <c r="L62" s="35"/>
      <c r="M62" s="37" t="e">
        <f t="shared" si="0"/>
        <v>#DIV/0!</v>
      </c>
      <c r="O62" s="148"/>
    </row>
    <row r="63" spans="1:15" s="24" customFormat="1" ht="15" x14ac:dyDescent="0.25">
      <c r="A63" s="21">
        <f>A57+1</f>
        <v>8</v>
      </c>
      <c r="B63" s="22" t="s">
        <v>87</v>
      </c>
      <c r="C63" s="75" t="s">
        <v>3</v>
      </c>
      <c r="D63" s="23"/>
      <c r="E63" s="23"/>
      <c r="F63" s="92" t="s">
        <v>187</v>
      </c>
      <c r="G63" s="72">
        <f>SUMIF(C64:C67,"",G64:G67)</f>
        <v>879519.30675000011</v>
      </c>
      <c r="H63" s="23"/>
      <c r="I63" s="23"/>
      <c r="J63" s="103">
        <f>SUMIF(C64:C67,"",J64:J67)</f>
        <v>1029037.5888975002</v>
      </c>
      <c r="K63" s="23"/>
      <c r="L63" s="103">
        <f>SUM(L64:L66)</f>
        <v>1245135.482565975</v>
      </c>
      <c r="M63" s="37">
        <f t="shared" si="0"/>
        <v>1.2099999999999997</v>
      </c>
      <c r="O63" s="146" t="s">
        <v>224</v>
      </c>
    </row>
    <row r="64" spans="1:15" s="16" customFormat="1" ht="15" outlineLevel="1" x14ac:dyDescent="0.25">
      <c r="A64" s="4">
        <f>A63+0.01</f>
        <v>8.01</v>
      </c>
      <c r="B64" s="6" t="s">
        <v>190</v>
      </c>
      <c r="C64" s="5"/>
      <c r="D64" s="5">
        <v>1458.7650000000003</v>
      </c>
      <c r="E64" s="5" t="s">
        <v>144</v>
      </c>
      <c r="F64" s="107">
        <f>33*H3</f>
        <v>532.94999999999993</v>
      </c>
      <c r="G64" s="108">
        <f>F64*D64</f>
        <v>777448.80675000011</v>
      </c>
      <c r="H64" s="45">
        <f t="shared" ref="H64:H66" si="27">$H$4</f>
        <v>1.17</v>
      </c>
      <c r="I64" s="53">
        <f>H64*F64</f>
        <v>623.55149999999992</v>
      </c>
      <c r="J64" s="35">
        <f>I64*D64</f>
        <v>909615.10389750008</v>
      </c>
      <c r="K64" s="45">
        <f>$L$4</f>
        <v>1.21</v>
      </c>
      <c r="L64" s="35">
        <f t="shared" si="26"/>
        <v>1100634.2757159751</v>
      </c>
      <c r="M64" s="37">
        <f t="shared" si="0"/>
        <v>1.21</v>
      </c>
      <c r="O64" s="147"/>
    </row>
    <row r="65" spans="1:15" s="16" customFormat="1" ht="15" outlineLevel="1" x14ac:dyDescent="0.25">
      <c r="A65" s="4">
        <f>A64+0.01</f>
        <v>8.02</v>
      </c>
      <c r="B65" s="6" t="s">
        <v>86</v>
      </c>
      <c r="C65" s="5"/>
      <c r="D65" s="5">
        <v>1326.15</v>
      </c>
      <c r="E65" s="5" t="s">
        <v>144</v>
      </c>
      <c r="F65" s="107">
        <v>70</v>
      </c>
      <c r="G65" s="108">
        <f t="shared" ref="G65:G66" si="28">F65*D65</f>
        <v>92830.5</v>
      </c>
      <c r="H65" s="45">
        <f t="shared" si="27"/>
        <v>1.17</v>
      </c>
      <c r="I65" s="53">
        <f>H65*F65</f>
        <v>81.899999999999991</v>
      </c>
      <c r="J65" s="35">
        <f>I65*D65</f>
        <v>108611.685</v>
      </c>
      <c r="K65" s="45">
        <f>$L$4</f>
        <v>1.21</v>
      </c>
      <c r="L65" s="35">
        <f t="shared" si="26"/>
        <v>131420.13884999999</v>
      </c>
      <c r="M65" s="37">
        <f t="shared" si="0"/>
        <v>1.21</v>
      </c>
      <c r="O65" s="147"/>
    </row>
    <row r="66" spans="1:15" s="16" customFormat="1" ht="15" outlineLevel="1" x14ac:dyDescent="0.25">
      <c r="A66" s="4">
        <f>A65+0.01</f>
        <v>8.0299999999999994</v>
      </c>
      <c r="B66" s="6" t="s">
        <v>85</v>
      </c>
      <c r="C66" s="5"/>
      <c r="D66" s="5">
        <v>33</v>
      </c>
      <c r="E66" s="5" t="s">
        <v>146</v>
      </c>
      <c r="F66" s="107">
        <v>280</v>
      </c>
      <c r="G66" s="108">
        <f t="shared" si="28"/>
        <v>9240</v>
      </c>
      <c r="H66" s="45">
        <f t="shared" si="27"/>
        <v>1.17</v>
      </c>
      <c r="I66" s="53">
        <f>H66*F66</f>
        <v>327.59999999999997</v>
      </c>
      <c r="J66" s="35">
        <f>I66*D66</f>
        <v>10810.8</v>
      </c>
      <c r="K66" s="45">
        <f>$L$4</f>
        <v>1.21</v>
      </c>
      <c r="L66" s="35">
        <f t="shared" si="26"/>
        <v>13081.067999999999</v>
      </c>
      <c r="M66" s="37">
        <f t="shared" si="0"/>
        <v>1.21</v>
      </c>
      <c r="O66" s="147"/>
    </row>
    <row r="67" spans="1:15" s="15" customFormat="1" x14ac:dyDescent="0.3">
      <c r="A67" s="17"/>
      <c r="B67" s="18"/>
      <c r="C67" s="17"/>
      <c r="D67" s="17"/>
      <c r="E67" s="17"/>
      <c r="F67" s="109"/>
      <c r="G67" s="110"/>
      <c r="H67" s="17"/>
      <c r="I67" s="17"/>
      <c r="J67" s="36"/>
      <c r="K67" s="17"/>
      <c r="L67" s="35"/>
      <c r="M67" s="37" t="e">
        <f t="shared" si="0"/>
        <v>#DIV/0!</v>
      </c>
      <c r="O67" s="148"/>
    </row>
    <row r="68" spans="1:15" s="24" customFormat="1" ht="15" x14ac:dyDescent="0.25">
      <c r="A68" s="21">
        <f>A63+1</f>
        <v>9</v>
      </c>
      <c r="B68" s="22" t="s">
        <v>84</v>
      </c>
      <c r="C68" s="75" t="s">
        <v>3</v>
      </c>
      <c r="D68" s="23"/>
      <c r="E68" s="23"/>
      <c r="F68" s="41" t="s">
        <v>178</v>
      </c>
      <c r="G68" s="72">
        <f>SUMIF(C69:C74,"",G69:G74)</f>
        <v>287659.48000000004</v>
      </c>
      <c r="H68" s="23"/>
      <c r="I68" s="23"/>
      <c r="J68" s="103">
        <f>SUMIF(C69:C74,"",J69:J74)</f>
        <v>336561.59160000004</v>
      </c>
      <c r="K68" s="23"/>
      <c r="L68" s="103">
        <f>SUM(L69:L74)</f>
        <v>407239.52583599999</v>
      </c>
      <c r="M68" s="37">
        <f t="shared" si="0"/>
        <v>1.2099999999999997</v>
      </c>
      <c r="O68" s="146" t="s">
        <v>224</v>
      </c>
    </row>
    <row r="69" spans="1:15" s="16" customFormat="1" ht="15" outlineLevel="1" x14ac:dyDescent="0.25">
      <c r="A69" s="4">
        <f t="shared" ref="A69:A74" si="29">A68+0.01</f>
        <v>9.01</v>
      </c>
      <c r="B69" s="6" t="s">
        <v>83</v>
      </c>
      <c r="C69" s="5"/>
      <c r="D69" s="5">
        <v>10</v>
      </c>
      <c r="E69" s="5" t="s">
        <v>144</v>
      </c>
      <c r="F69" s="107">
        <f>856.18</f>
        <v>856.18</v>
      </c>
      <c r="G69" s="108">
        <f>F69*D69</f>
        <v>8561.7999999999993</v>
      </c>
      <c r="H69" s="45">
        <f t="shared" ref="H69:H74" si="30">$H$4</f>
        <v>1.17</v>
      </c>
      <c r="I69" s="53">
        <f t="shared" ref="I69:I74" si="31">H69*F69</f>
        <v>1001.7305999999999</v>
      </c>
      <c r="J69" s="35">
        <f t="shared" ref="J69:J74" si="32">I69*D69</f>
        <v>10017.305999999999</v>
      </c>
      <c r="K69" s="45">
        <f t="shared" ref="K69:K74" si="33">$L$4</f>
        <v>1.21</v>
      </c>
      <c r="L69" s="35">
        <f t="shared" si="26"/>
        <v>12120.940259999998</v>
      </c>
      <c r="M69" s="37">
        <f t="shared" si="0"/>
        <v>1.21</v>
      </c>
      <c r="O69" s="147"/>
    </row>
    <row r="70" spans="1:15" s="16" customFormat="1" ht="15" outlineLevel="1" x14ac:dyDescent="0.25">
      <c r="A70" s="4">
        <f t="shared" si="29"/>
        <v>9.02</v>
      </c>
      <c r="B70" s="6" t="s">
        <v>82</v>
      </c>
      <c r="C70" s="5"/>
      <c r="D70" s="5">
        <v>8</v>
      </c>
      <c r="E70" s="5" t="s">
        <v>144</v>
      </c>
      <c r="F70" s="107">
        <f>1800/8</f>
        <v>225</v>
      </c>
      <c r="G70" s="108">
        <f t="shared" ref="G70:G74" si="34">F70*D70</f>
        <v>1800</v>
      </c>
      <c r="H70" s="45">
        <f t="shared" si="30"/>
        <v>1.17</v>
      </c>
      <c r="I70" s="53">
        <f t="shared" si="31"/>
        <v>263.25</v>
      </c>
      <c r="J70" s="35">
        <f t="shared" si="32"/>
        <v>2106</v>
      </c>
      <c r="K70" s="45">
        <f t="shared" si="33"/>
        <v>1.21</v>
      </c>
      <c r="L70" s="35">
        <f t="shared" si="26"/>
        <v>2548.2599999999998</v>
      </c>
      <c r="M70" s="37">
        <f t="shared" si="0"/>
        <v>1.21</v>
      </c>
      <c r="O70" s="147"/>
    </row>
    <row r="71" spans="1:15" s="16" customFormat="1" ht="15" outlineLevel="1" x14ac:dyDescent="0.25">
      <c r="A71" s="4">
        <f t="shared" si="29"/>
        <v>9.0299999999999994</v>
      </c>
      <c r="B71" s="6" t="s">
        <v>198</v>
      </c>
      <c r="C71" s="5"/>
      <c r="D71" s="5">
        <v>105.60000000000001</v>
      </c>
      <c r="E71" s="5" t="s">
        <v>144</v>
      </c>
      <c r="F71" s="107">
        <f>21*H3</f>
        <v>339.15</v>
      </c>
      <c r="G71" s="108">
        <f t="shared" si="34"/>
        <v>35814.239999999998</v>
      </c>
      <c r="H71" s="45">
        <f t="shared" si="30"/>
        <v>1.17</v>
      </c>
      <c r="I71" s="53">
        <f t="shared" si="31"/>
        <v>396.80549999999994</v>
      </c>
      <c r="J71" s="35">
        <f t="shared" si="32"/>
        <v>41902.660799999998</v>
      </c>
      <c r="K71" s="45">
        <f t="shared" si="33"/>
        <v>1.21</v>
      </c>
      <c r="L71" s="35">
        <f t="shared" si="26"/>
        <v>50702.219567999993</v>
      </c>
      <c r="M71" s="37">
        <f t="shared" si="0"/>
        <v>1.21</v>
      </c>
      <c r="O71" s="147"/>
    </row>
    <row r="72" spans="1:15" s="16" customFormat="1" ht="15" outlineLevel="1" x14ac:dyDescent="0.25">
      <c r="A72" s="4">
        <f t="shared" si="29"/>
        <v>9.0399999999999991</v>
      </c>
      <c r="B72" s="6" t="s">
        <v>202</v>
      </c>
      <c r="C72" s="5"/>
      <c r="D72" s="5">
        <v>105.60000000000001</v>
      </c>
      <c r="E72" s="5" t="s">
        <v>144</v>
      </c>
      <c r="F72" s="107">
        <f>(5+21)*H3</f>
        <v>419.9</v>
      </c>
      <c r="G72" s="108">
        <f t="shared" si="34"/>
        <v>44341.440000000002</v>
      </c>
      <c r="H72" s="45">
        <f t="shared" si="30"/>
        <v>1.17</v>
      </c>
      <c r="I72" s="53">
        <f t="shared" si="31"/>
        <v>491.28299999999996</v>
      </c>
      <c r="J72" s="35">
        <f t="shared" si="32"/>
        <v>51879.484799999998</v>
      </c>
      <c r="K72" s="45">
        <f t="shared" si="33"/>
        <v>1.21</v>
      </c>
      <c r="L72" s="35">
        <f t="shared" si="26"/>
        <v>62774.176607999994</v>
      </c>
      <c r="M72" s="37">
        <f t="shared" si="0"/>
        <v>1.21</v>
      </c>
      <c r="O72" s="147"/>
    </row>
    <row r="73" spans="1:15" s="16" customFormat="1" ht="15" outlineLevel="1" x14ac:dyDescent="0.25">
      <c r="A73" s="4">
        <f t="shared" si="29"/>
        <v>9.0499999999999989</v>
      </c>
      <c r="B73" s="6" t="s">
        <v>81</v>
      </c>
      <c r="C73" s="5"/>
      <c r="D73" s="5">
        <v>226.60000000000002</v>
      </c>
      <c r="E73" s="5" t="s">
        <v>144</v>
      </c>
      <c r="F73" s="107">
        <v>700</v>
      </c>
      <c r="G73" s="108">
        <f t="shared" si="34"/>
        <v>158620.00000000003</v>
      </c>
      <c r="H73" s="45">
        <f t="shared" si="30"/>
        <v>1.17</v>
      </c>
      <c r="I73" s="53">
        <f t="shared" si="31"/>
        <v>819</v>
      </c>
      <c r="J73" s="35">
        <f t="shared" si="32"/>
        <v>185585.40000000002</v>
      </c>
      <c r="K73" s="45">
        <f t="shared" si="33"/>
        <v>1.21</v>
      </c>
      <c r="L73" s="35">
        <f t="shared" si="26"/>
        <v>224558.33400000003</v>
      </c>
      <c r="M73" s="37">
        <f t="shared" ref="M73:M136" si="35">L73/J73</f>
        <v>1.21</v>
      </c>
      <c r="O73" s="147"/>
    </row>
    <row r="74" spans="1:15" s="16" customFormat="1" ht="15" outlineLevel="1" x14ac:dyDescent="0.25">
      <c r="A74" s="4">
        <f t="shared" si="29"/>
        <v>9.0599999999999987</v>
      </c>
      <c r="B74" s="6" t="s">
        <v>80</v>
      </c>
      <c r="C74" s="5"/>
      <c r="D74" s="5">
        <v>226.60000000000002</v>
      </c>
      <c r="E74" s="5" t="s">
        <v>144</v>
      </c>
      <c r="F74" s="107">
        <v>170</v>
      </c>
      <c r="G74" s="108">
        <f t="shared" si="34"/>
        <v>38522.000000000007</v>
      </c>
      <c r="H74" s="45">
        <f t="shared" si="30"/>
        <v>1.17</v>
      </c>
      <c r="I74" s="53">
        <f t="shared" si="31"/>
        <v>198.89999999999998</v>
      </c>
      <c r="J74" s="35">
        <f t="shared" si="32"/>
        <v>45070.74</v>
      </c>
      <c r="K74" s="45">
        <f t="shared" si="33"/>
        <v>1.21</v>
      </c>
      <c r="L74" s="35">
        <f t="shared" si="26"/>
        <v>54535.595399999998</v>
      </c>
      <c r="M74" s="37">
        <f t="shared" si="35"/>
        <v>1.21</v>
      </c>
      <c r="O74" s="147"/>
    </row>
    <row r="75" spans="1:15" s="15" customFormat="1" x14ac:dyDescent="0.3">
      <c r="A75" s="17"/>
      <c r="B75" s="18"/>
      <c r="C75" s="17"/>
      <c r="D75" s="17"/>
      <c r="E75" s="17"/>
      <c r="F75" s="111" t="s">
        <v>191</v>
      </c>
      <c r="G75" s="110"/>
      <c r="H75" s="17"/>
      <c r="I75" s="17"/>
      <c r="J75" s="36"/>
      <c r="K75" s="17"/>
      <c r="L75" s="35"/>
      <c r="M75" s="37" t="e">
        <f t="shared" si="35"/>
        <v>#DIV/0!</v>
      </c>
      <c r="O75" s="148"/>
    </row>
    <row r="76" spans="1:15" s="24" customFormat="1" ht="15" x14ac:dyDescent="0.25">
      <c r="A76" s="21">
        <f>A68+1</f>
        <v>10</v>
      </c>
      <c r="B76" s="22" t="s">
        <v>79</v>
      </c>
      <c r="C76" s="75" t="s">
        <v>3</v>
      </c>
      <c r="D76" s="23"/>
      <c r="E76" s="23"/>
      <c r="F76" s="41" t="s">
        <v>189</v>
      </c>
      <c r="G76" s="72">
        <f>SUMIF(C77:C78,"",G77:G78)</f>
        <v>46280</v>
      </c>
      <c r="H76" s="23"/>
      <c r="I76" s="23"/>
      <c r="J76" s="103">
        <f>SUMIF(C77:C78,"",J77:J78)</f>
        <v>54147.599999999991</v>
      </c>
      <c r="K76" s="23"/>
      <c r="L76" s="103">
        <f>SUM(L77:L78)</f>
        <v>65518.595999999983</v>
      </c>
      <c r="M76" s="37">
        <f t="shared" si="35"/>
        <v>1.21</v>
      </c>
      <c r="O76" s="146" t="s">
        <v>224</v>
      </c>
    </row>
    <row r="77" spans="1:15" s="16" customFormat="1" ht="15" outlineLevel="1" x14ac:dyDescent="0.25">
      <c r="A77" s="4">
        <f>A76+0.01</f>
        <v>10.01</v>
      </c>
      <c r="B77" s="6" t="s">
        <v>78</v>
      </c>
      <c r="C77" s="5"/>
      <c r="D77" s="5">
        <v>24</v>
      </c>
      <c r="E77" s="5" t="s">
        <v>146</v>
      </c>
      <c r="F77" s="107">
        <v>50</v>
      </c>
      <c r="G77" s="108">
        <f>F77*D77</f>
        <v>1200</v>
      </c>
      <c r="H77" s="45">
        <f t="shared" ref="H77:H78" si="36">$H$4</f>
        <v>1.17</v>
      </c>
      <c r="I77" s="53">
        <f>H77*F77</f>
        <v>58.5</v>
      </c>
      <c r="J77" s="35">
        <f>I77*D77</f>
        <v>1404</v>
      </c>
      <c r="K77" s="45">
        <f>$L$4</f>
        <v>1.21</v>
      </c>
      <c r="L77" s="35">
        <f t="shared" ref="L77:L138" si="37">J77*K77</f>
        <v>1698.84</v>
      </c>
      <c r="M77" s="37">
        <f t="shared" si="35"/>
        <v>1.21</v>
      </c>
      <c r="O77" s="147"/>
    </row>
    <row r="78" spans="1:15" s="16" customFormat="1" ht="15" outlineLevel="1" x14ac:dyDescent="0.25">
      <c r="A78" s="4">
        <f>A77+0.01</f>
        <v>10.02</v>
      </c>
      <c r="B78" s="6" t="s">
        <v>77</v>
      </c>
      <c r="C78" s="5"/>
      <c r="D78" s="5">
        <v>644</v>
      </c>
      <c r="E78" s="5" t="s">
        <v>144</v>
      </c>
      <c r="F78" s="107">
        <v>70</v>
      </c>
      <c r="G78" s="108">
        <f>F78*D78</f>
        <v>45080</v>
      </c>
      <c r="H78" s="45">
        <f t="shared" si="36"/>
        <v>1.17</v>
      </c>
      <c r="I78" s="53">
        <f>H78*F78</f>
        <v>81.899999999999991</v>
      </c>
      <c r="J78" s="35">
        <f>I78*D78</f>
        <v>52743.599999999991</v>
      </c>
      <c r="K78" s="45">
        <f>$L$4</f>
        <v>1.21</v>
      </c>
      <c r="L78" s="35">
        <f t="shared" si="37"/>
        <v>63819.755999999987</v>
      </c>
      <c r="M78" s="37">
        <f t="shared" si="35"/>
        <v>1.21</v>
      </c>
      <c r="O78" s="147"/>
    </row>
    <row r="79" spans="1:15" s="15" customFormat="1" x14ac:dyDescent="0.3">
      <c r="A79" s="17"/>
      <c r="B79" s="18"/>
      <c r="C79" s="17"/>
      <c r="D79" s="17"/>
      <c r="E79" s="17"/>
      <c r="F79" s="109"/>
      <c r="G79" s="110"/>
      <c r="H79" s="17"/>
      <c r="I79" s="17"/>
      <c r="J79" s="36"/>
      <c r="K79" s="17"/>
      <c r="L79" s="35"/>
      <c r="M79" s="37" t="e">
        <f t="shared" si="35"/>
        <v>#DIV/0!</v>
      </c>
      <c r="O79" s="148"/>
    </row>
    <row r="80" spans="1:15" s="24" customFormat="1" ht="15" x14ac:dyDescent="0.25">
      <c r="A80" s="21">
        <f>A76+1</f>
        <v>11</v>
      </c>
      <c r="B80" s="22" t="s">
        <v>76</v>
      </c>
      <c r="C80" s="75" t="s">
        <v>3</v>
      </c>
      <c r="D80" s="23"/>
      <c r="E80" s="23"/>
      <c r="F80" s="92" t="s">
        <v>183</v>
      </c>
      <c r="G80" s="72">
        <f>SUMIF(C81:C82,"",G81:G82)</f>
        <v>36501.520000000004</v>
      </c>
      <c r="H80" s="23"/>
      <c r="I80" s="23"/>
      <c r="J80" s="103">
        <f>SUMIF(C81:C82,"",J81:J82)</f>
        <v>42706.778400000003</v>
      </c>
      <c r="K80" s="23"/>
      <c r="L80" s="103">
        <f>SUM(L81:L82)</f>
        <v>51675.201863999995</v>
      </c>
      <c r="M80" s="37">
        <f t="shared" si="35"/>
        <v>1.2099999999999997</v>
      </c>
      <c r="O80" s="146" t="s">
        <v>224</v>
      </c>
    </row>
    <row r="81" spans="1:15" s="16" customFormat="1" ht="15" outlineLevel="1" x14ac:dyDescent="0.25">
      <c r="A81" s="4">
        <f>A80+0.01</f>
        <v>11.01</v>
      </c>
      <c r="B81" s="6" t="s">
        <v>75</v>
      </c>
      <c r="C81" s="5"/>
      <c r="D81" s="5">
        <v>523.6</v>
      </c>
      <c r="E81" s="5" t="s">
        <v>145</v>
      </c>
      <c r="F81" s="107">
        <v>55.7</v>
      </c>
      <c r="G81" s="108">
        <f>F81*D81</f>
        <v>29164.520000000004</v>
      </c>
      <c r="H81" s="45">
        <f t="shared" ref="H81:H82" si="38">$H$4</f>
        <v>1.17</v>
      </c>
      <c r="I81" s="53">
        <f>H81*F81</f>
        <v>65.168999999999997</v>
      </c>
      <c r="J81" s="35">
        <f>I81*D81</f>
        <v>34122.488400000002</v>
      </c>
      <c r="K81" s="45">
        <f>$L$4</f>
        <v>1.21</v>
      </c>
      <c r="L81" s="35">
        <f t="shared" si="37"/>
        <v>41288.210963999998</v>
      </c>
      <c r="M81" s="37">
        <f t="shared" si="35"/>
        <v>1.21</v>
      </c>
      <c r="O81" s="147"/>
    </row>
    <row r="82" spans="1:15" s="16" customFormat="1" ht="15" outlineLevel="1" x14ac:dyDescent="0.25">
      <c r="A82" s="4">
        <f>A81+0.01</f>
        <v>11.02</v>
      </c>
      <c r="B82" s="6" t="s">
        <v>74</v>
      </c>
      <c r="C82" s="5"/>
      <c r="D82" s="5">
        <v>25.3</v>
      </c>
      <c r="E82" s="5" t="s">
        <v>145</v>
      </c>
      <c r="F82" s="107">
        <v>290</v>
      </c>
      <c r="G82" s="108">
        <f>F82*D82</f>
        <v>7337</v>
      </c>
      <c r="H82" s="45">
        <f t="shared" si="38"/>
        <v>1.17</v>
      </c>
      <c r="I82" s="53">
        <f>H82*F82</f>
        <v>339.29999999999995</v>
      </c>
      <c r="J82" s="35">
        <f>I82*D82</f>
        <v>8584.2899999999991</v>
      </c>
      <c r="K82" s="45">
        <f>$L$4</f>
        <v>1.21</v>
      </c>
      <c r="L82" s="35">
        <f t="shared" si="37"/>
        <v>10386.990899999999</v>
      </c>
      <c r="M82" s="37">
        <f t="shared" si="35"/>
        <v>1.21</v>
      </c>
      <c r="O82" s="147"/>
    </row>
    <row r="83" spans="1:15" s="15" customFormat="1" x14ac:dyDescent="0.3">
      <c r="A83" s="17"/>
      <c r="B83" s="18"/>
      <c r="C83" s="17"/>
      <c r="D83" s="17"/>
      <c r="E83" s="17"/>
      <c r="F83" s="109"/>
      <c r="G83" s="110"/>
      <c r="H83" s="17"/>
      <c r="I83" s="17"/>
      <c r="J83" s="36"/>
      <c r="K83" s="17"/>
      <c r="L83" s="35"/>
      <c r="M83" s="37" t="e">
        <f t="shared" si="35"/>
        <v>#DIV/0!</v>
      </c>
      <c r="O83" s="148"/>
    </row>
    <row r="84" spans="1:15" s="24" customFormat="1" ht="15" x14ac:dyDescent="0.25">
      <c r="A84" s="21">
        <f>A80+1</f>
        <v>12</v>
      </c>
      <c r="B84" s="22" t="s">
        <v>73</v>
      </c>
      <c r="C84" s="75" t="s">
        <v>3</v>
      </c>
      <c r="D84" s="23"/>
      <c r="E84" s="23"/>
      <c r="F84" s="41" t="s">
        <v>177</v>
      </c>
      <c r="G84" s="72">
        <f>SUMIF(C85:C95,"",G85:G95)</f>
        <v>209137.9376189</v>
      </c>
      <c r="H84" s="23"/>
      <c r="I84" s="23"/>
      <c r="J84" s="103">
        <f>SUMIF(C85:C94,"",J85:J94)</f>
        <v>244691.38701411302</v>
      </c>
      <c r="K84" s="23"/>
      <c r="L84" s="103">
        <f>SUM(L85:L94)</f>
        <v>296076.57828707667</v>
      </c>
      <c r="M84" s="37">
        <f t="shared" si="35"/>
        <v>1.2099999999999997</v>
      </c>
      <c r="O84" s="146" t="s">
        <v>230</v>
      </c>
    </row>
    <row r="85" spans="1:15" s="16" customFormat="1" ht="15" outlineLevel="1" x14ac:dyDescent="0.25">
      <c r="A85" s="4">
        <f>A84+0.01</f>
        <v>12.01</v>
      </c>
      <c r="B85" s="6" t="s">
        <v>72</v>
      </c>
      <c r="C85" s="5"/>
      <c r="D85" s="5">
        <v>69.63</v>
      </c>
      <c r="E85" s="5" t="s">
        <v>160</v>
      </c>
      <c r="F85" s="107">
        <v>73.39</v>
      </c>
      <c r="G85" s="108">
        <f>F85*D85</f>
        <v>5110.1457</v>
      </c>
      <c r="H85" s="45">
        <f t="shared" ref="H85:H94" si="39">$H$4</f>
        <v>1.17</v>
      </c>
      <c r="I85" s="53">
        <f t="shared" ref="I85:I94" si="40">H85*F85</f>
        <v>85.866299999999995</v>
      </c>
      <c r="J85" s="35">
        <f t="shared" ref="J85:J94" si="41">I85*D85</f>
        <v>5978.8704689999995</v>
      </c>
      <c r="K85" s="45">
        <f t="shared" ref="K85:K94" si="42">$L$4</f>
        <v>1.21</v>
      </c>
      <c r="L85" s="35">
        <f t="shared" si="37"/>
        <v>7234.4332674899988</v>
      </c>
      <c r="M85" s="37">
        <f t="shared" si="35"/>
        <v>1.21</v>
      </c>
      <c r="O85" s="147"/>
    </row>
    <row r="86" spans="1:15" s="16" customFormat="1" ht="15" outlineLevel="1" x14ac:dyDescent="0.25">
      <c r="A86" s="4">
        <f>A85+0.01</f>
        <v>12.02</v>
      </c>
      <c r="B86" s="6" t="s">
        <v>71</v>
      </c>
      <c r="C86" s="5"/>
      <c r="D86" s="5">
        <v>232.10000000000002</v>
      </c>
      <c r="E86" s="5" t="s">
        <v>144</v>
      </c>
      <c r="F86" s="107">
        <v>73.39</v>
      </c>
      <c r="G86" s="108">
        <f t="shared" ref="G86:G94" si="43">F86*D86</f>
        <v>17033.819000000003</v>
      </c>
      <c r="H86" s="45">
        <f t="shared" si="39"/>
        <v>1.17</v>
      </c>
      <c r="I86" s="53">
        <f t="shared" si="40"/>
        <v>85.866299999999995</v>
      </c>
      <c r="J86" s="35">
        <f t="shared" si="41"/>
        <v>19929.568230000001</v>
      </c>
      <c r="K86" s="45">
        <f t="shared" si="42"/>
        <v>1.21</v>
      </c>
      <c r="L86" s="35">
        <f t="shared" si="37"/>
        <v>24114.7775583</v>
      </c>
      <c r="M86" s="37">
        <f t="shared" si="35"/>
        <v>1.21</v>
      </c>
      <c r="O86" s="147"/>
    </row>
    <row r="87" spans="1:15" s="16" customFormat="1" ht="15" outlineLevel="1" x14ac:dyDescent="0.25">
      <c r="A87" s="4">
        <f t="shared" ref="A87:A94" si="44">A86+0.01</f>
        <v>12.03</v>
      </c>
      <c r="B87" s="6" t="s">
        <v>70</v>
      </c>
      <c r="C87" s="5"/>
      <c r="D87" s="5">
        <v>211.09</v>
      </c>
      <c r="E87" s="5" t="s">
        <v>144</v>
      </c>
      <c r="F87" s="107">
        <v>81.349999999999994</v>
      </c>
      <c r="G87" s="108">
        <f t="shared" si="43"/>
        <v>17172.1715</v>
      </c>
      <c r="H87" s="45">
        <f t="shared" si="39"/>
        <v>1.17</v>
      </c>
      <c r="I87" s="53">
        <f t="shared" si="40"/>
        <v>95.17949999999999</v>
      </c>
      <c r="J87" s="35">
        <f t="shared" si="41"/>
        <v>20091.440654999999</v>
      </c>
      <c r="K87" s="45">
        <f t="shared" si="42"/>
        <v>1.21</v>
      </c>
      <c r="L87" s="35">
        <f t="shared" si="37"/>
        <v>24310.643192549996</v>
      </c>
      <c r="M87" s="37">
        <f t="shared" si="35"/>
        <v>1.21</v>
      </c>
      <c r="O87" s="147"/>
    </row>
    <row r="88" spans="1:15" s="16" customFormat="1" ht="15" outlineLevel="1" x14ac:dyDescent="0.25">
      <c r="A88" s="4">
        <f t="shared" si="44"/>
        <v>12.04</v>
      </c>
      <c r="B88" s="6" t="s">
        <v>69</v>
      </c>
      <c r="C88" s="5"/>
      <c r="D88" s="5">
        <v>363.00000000000006</v>
      </c>
      <c r="E88" s="5" t="s">
        <v>144</v>
      </c>
      <c r="F88" s="107">
        <v>90.91</v>
      </c>
      <c r="G88" s="108">
        <f t="shared" si="43"/>
        <v>33000.33</v>
      </c>
      <c r="H88" s="45">
        <f t="shared" si="39"/>
        <v>1.17</v>
      </c>
      <c r="I88" s="53">
        <f t="shared" si="40"/>
        <v>106.36469999999998</v>
      </c>
      <c r="J88" s="35">
        <f t="shared" si="41"/>
        <v>38610.386100000003</v>
      </c>
      <c r="K88" s="45">
        <f t="shared" si="42"/>
        <v>1.21</v>
      </c>
      <c r="L88" s="35">
        <f t="shared" si="37"/>
        <v>46718.567181000006</v>
      </c>
      <c r="M88" s="37">
        <f t="shared" si="35"/>
        <v>1.21</v>
      </c>
      <c r="O88" s="147"/>
    </row>
    <row r="89" spans="1:15" s="16" customFormat="1" ht="27" outlineLevel="1" x14ac:dyDescent="0.25">
      <c r="A89" s="4">
        <f t="shared" si="44"/>
        <v>12.049999999999999</v>
      </c>
      <c r="B89" s="6" t="s">
        <v>68</v>
      </c>
      <c r="C89" s="5"/>
      <c r="D89" s="5">
        <v>319</v>
      </c>
      <c r="E89" s="5" t="s">
        <v>144</v>
      </c>
      <c r="F89" s="107">
        <v>163.63800000000001</v>
      </c>
      <c r="G89" s="108">
        <f t="shared" si="43"/>
        <v>52200.522000000004</v>
      </c>
      <c r="H89" s="45">
        <f t="shared" si="39"/>
        <v>1.17</v>
      </c>
      <c r="I89" s="53">
        <f t="shared" si="40"/>
        <v>191.45645999999999</v>
      </c>
      <c r="J89" s="35">
        <f t="shared" si="41"/>
        <v>61074.610739999996</v>
      </c>
      <c r="K89" s="45">
        <f t="shared" si="42"/>
        <v>1.21</v>
      </c>
      <c r="L89" s="35">
        <f t="shared" si="37"/>
        <v>73900.278995399989</v>
      </c>
      <c r="M89" s="37">
        <f t="shared" si="35"/>
        <v>1.21</v>
      </c>
      <c r="O89" s="147"/>
    </row>
    <row r="90" spans="1:15" s="16" customFormat="1" ht="15" outlineLevel="1" x14ac:dyDescent="0.25">
      <c r="A90" s="4">
        <f t="shared" si="44"/>
        <v>12.059999999999999</v>
      </c>
      <c r="B90" s="6" t="s">
        <v>67</v>
      </c>
      <c r="C90" s="5"/>
      <c r="D90" s="5">
        <v>88</v>
      </c>
      <c r="E90" s="5" t="s">
        <v>144</v>
      </c>
      <c r="F90" s="107">
        <v>69.587059499999995</v>
      </c>
      <c r="G90" s="108">
        <f t="shared" si="43"/>
        <v>6123.6612359999999</v>
      </c>
      <c r="H90" s="45">
        <f t="shared" si="39"/>
        <v>1.17</v>
      </c>
      <c r="I90" s="53">
        <f t="shared" si="40"/>
        <v>81.416859614999993</v>
      </c>
      <c r="J90" s="35">
        <f t="shared" si="41"/>
        <v>7164.6836461199991</v>
      </c>
      <c r="K90" s="45">
        <f t="shared" si="42"/>
        <v>1.21</v>
      </c>
      <c r="L90" s="35">
        <f t="shared" si="37"/>
        <v>8669.2672118051978</v>
      </c>
      <c r="M90" s="37">
        <f t="shared" si="35"/>
        <v>1.2099999999999997</v>
      </c>
      <c r="O90" s="147"/>
    </row>
    <row r="91" spans="1:15" s="16" customFormat="1" ht="15" outlineLevel="1" x14ac:dyDescent="0.25">
      <c r="A91" s="4">
        <f t="shared" si="44"/>
        <v>12.069999999999999</v>
      </c>
      <c r="B91" s="6" t="s">
        <v>66</v>
      </c>
      <c r="C91" s="5"/>
      <c r="D91" s="5">
        <v>618.20000000000005</v>
      </c>
      <c r="E91" s="5" t="s">
        <v>144</v>
      </c>
      <c r="F91" s="107">
        <v>69.587059499999995</v>
      </c>
      <c r="G91" s="108">
        <f t="shared" si="43"/>
        <v>43018.720182899997</v>
      </c>
      <c r="H91" s="45">
        <f t="shared" si="39"/>
        <v>1.17</v>
      </c>
      <c r="I91" s="53">
        <f t="shared" si="40"/>
        <v>81.416859614999993</v>
      </c>
      <c r="J91" s="35">
        <f t="shared" si="41"/>
        <v>50331.902613992999</v>
      </c>
      <c r="K91" s="45">
        <f t="shared" si="42"/>
        <v>1.21</v>
      </c>
      <c r="L91" s="35">
        <f t="shared" si="37"/>
        <v>60901.602162931529</v>
      </c>
      <c r="M91" s="37">
        <f t="shared" si="35"/>
        <v>1.21</v>
      </c>
      <c r="O91" s="147"/>
    </row>
    <row r="92" spans="1:15" s="16" customFormat="1" ht="15" outlineLevel="1" x14ac:dyDescent="0.25">
      <c r="A92" s="4">
        <f t="shared" si="44"/>
        <v>12.079999999999998</v>
      </c>
      <c r="B92" s="6" t="s">
        <v>65</v>
      </c>
      <c r="C92" s="5"/>
      <c r="D92" s="5">
        <v>523.6</v>
      </c>
      <c r="E92" s="5" t="s">
        <v>145</v>
      </c>
      <c r="F92" s="107">
        <v>48.88</v>
      </c>
      <c r="G92" s="108">
        <f t="shared" si="43"/>
        <v>25593.568000000003</v>
      </c>
      <c r="H92" s="45">
        <f t="shared" si="39"/>
        <v>1.17</v>
      </c>
      <c r="I92" s="53">
        <f t="shared" si="40"/>
        <v>57.189599999999999</v>
      </c>
      <c r="J92" s="35">
        <f t="shared" si="41"/>
        <v>29944.474560000002</v>
      </c>
      <c r="K92" s="45">
        <f t="shared" si="42"/>
        <v>1.21</v>
      </c>
      <c r="L92" s="35">
        <f t="shared" si="37"/>
        <v>36232.814217600004</v>
      </c>
      <c r="M92" s="37">
        <f t="shared" si="35"/>
        <v>1.21</v>
      </c>
      <c r="O92" s="147"/>
    </row>
    <row r="93" spans="1:15" s="16" customFormat="1" ht="15" outlineLevel="1" x14ac:dyDescent="0.25">
      <c r="A93" s="4">
        <f t="shared" si="44"/>
        <v>12.089999999999998</v>
      </c>
      <c r="B93" s="6" t="s">
        <v>64</v>
      </c>
      <c r="C93" s="5"/>
      <c r="D93" s="5">
        <v>0</v>
      </c>
      <c r="E93" s="5" t="s">
        <v>145</v>
      </c>
      <c r="F93" s="107">
        <v>235.22</v>
      </c>
      <c r="G93" s="108">
        <f t="shared" si="43"/>
        <v>0</v>
      </c>
      <c r="H93" s="45">
        <f t="shared" si="39"/>
        <v>1.17</v>
      </c>
      <c r="I93" s="53">
        <f t="shared" si="40"/>
        <v>275.20740000000001</v>
      </c>
      <c r="J93" s="35">
        <f t="shared" si="41"/>
        <v>0</v>
      </c>
      <c r="K93" s="45">
        <f t="shared" si="42"/>
        <v>1.21</v>
      </c>
      <c r="L93" s="35">
        <f t="shared" si="37"/>
        <v>0</v>
      </c>
      <c r="M93" s="37" t="e">
        <f t="shared" si="35"/>
        <v>#DIV/0!</v>
      </c>
      <c r="O93" s="147"/>
    </row>
    <row r="94" spans="1:15" s="16" customFormat="1" ht="15" outlineLevel="1" x14ac:dyDescent="0.25">
      <c r="A94" s="4">
        <f t="shared" si="44"/>
        <v>12.099999999999998</v>
      </c>
      <c r="B94" s="6" t="s">
        <v>63</v>
      </c>
      <c r="C94" s="5"/>
      <c r="D94" s="5">
        <v>15</v>
      </c>
      <c r="E94" s="5" t="s">
        <v>158</v>
      </c>
      <c r="F94" s="107">
        <v>659</v>
      </c>
      <c r="G94" s="108">
        <f t="shared" si="43"/>
        <v>9885</v>
      </c>
      <c r="H94" s="45">
        <f t="shared" si="39"/>
        <v>1.17</v>
      </c>
      <c r="I94" s="53">
        <f t="shared" si="40"/>
        <v>771.03</v>
      </c>
      <c r="J94" s="35">
        <f t="shared" si="41"/>
        <v>11565.449999999999</v>
      </c>
      <c r="K94" s="45">
        <f t="shared" si="42"/>
        <v>1.21</v>
      </c>
      <c r="L94" s="35">
        <f>J94*K94</f>
        <v>13994.194499999998</v>
      </c>
      <c r="M94" s="37">
        <f t="shared" si="35"/>
        <v>1.21</v>
      </c>
      <c r="O94" s="147"/>
    </row>
    <row r="95" spans="1:15" s="15" customFormat="1" x14ac:dyDescent="0.3">
      <c r="A95" s="17"/>
      <c r="B95" s="18"/>
      <c r="C95" s="17"/>
      <c r="D95" s="17"/>
      <c r="E95" s="17"/>
      <c r="F95" s="109"/>
      <c r="G95" s="110"/>
      <c r="H95" s="17"/>
      <c r="I95" s="17"/>
      <c r="J95" s="36"/>
      <c r="K95" s="17"/>
      <c r="L95" s="35"/>
      <c r="M95" s="37" t="e">
        <f t="shared" si="35"/>
        <v>#DIV/0!</v>
      </c>
      <c r="O95" s="148"/>
    </row>
    <row r="96" spans="1:15" s="24" customFormat="1" ht="15" x14ac:dyDescent="0.25">
      <c r="A96" s="21">
        <f>A84+1</f>
        <v>13</v>
      </c>
      <c r="B96" s="22" t="s">
        <v>62</v>
      </c>
      <c r="C96" s="75" t="s">
        <v>3</v>
      </c>
      <c r="D96" s="23"/>
      <c r="E96" s="23"/>
      <c r="F96" s="41" t="s">
        <v>179</v>
      </c>
      <c r="G96" s="72">
        <f>SUMIF(C97:C100,"",G97:G100)</f>
        <v>37689.473684210527</v>
      </c>
      <c r="H96" s="23"/>
      <c r="I96" s="23"/>
      <c r="J96" s="103">
        <f>SUMIF(C97:C100,"",J97:J100)</f>
        <v>44096.68421052632</v>
      </c>
      <c r="K96" s="23"/>
      <c r="L96" s="103">
        <f>SUM(L97:L100)</f>
        <v>53356.987894736842</v>
      </c>
      <c r="M96" s="37">
        <f t="shared" si="35"/>
        <v>1.21</v>
      </c>
      <c r="O96" s="146" t="s">
        <v>235</v>
      </c>
    </row>
    <row r="97" spans="1:15" s="16" customFormat="1" ht="40.5" outlineLevel="1" x14ac:dyDescent="0.25">
      <c r="A97" s="4">
        <f>A96+0.01</f>
        <v>13.01</v>
      </c>
      <c r="B97" s="6" t="s">
        <v>61</v>
      </c>
      <c r="C97" s="5"/>
      <c r="D97" s="5">
        <v>15</v>
      </c>
      <c r="E97" s="5" t="s">
        <v>146</v>
      </c>
      <c r="F97" s="107">
        <v>452.63157894736844</v>
      </c>
      <c r="G97" s="108">
        <f>F97*D97</f>
        <v>6789.4736842105267</v>
      </c>
      <c r="H97" s="45">
        <f t="shared" ref="H97:H100" si="45">$H$4</f>
        <v>1.17</v>
      </c>
      <c r="I97" s="53">
        <f>H97*F97</f>
        <v>529.57894736842104</v>
      </c>
      <c r="J97" s="35">
        <f>I97*D97</f>
        <v>7943.6842105263158</v>
      </c>
      <c r="K97" s="45">
        <f>$L$4</f>
        <v>1.21</v>
      </c>
      <c r="L97" s="35">
        <f>J97*K97</f>
        <v>9611.8578947368424</v>
      </c>
      <c r="M97" s="37">
        <f t="shared" si="35"/>
        <v>1.21</v>
      </c>
      <c r="O97" s="147"/>
    </row>
    <row r="98" spans="1:15" s="16" customFormat="1" ht="27" outlineLevel="1" x14ac:dyDescent="0.25">
      <c r="A98" s="4">
        <f>A97+0.01</f>
        <v>13.02</v>
      </c>
      <c r="B98" s="6" t="s">
        <v>60</v>
      </c>
      <c r="C98" s="5"/>
      <c r="D98" s="5">
        <v>1</v>
      </c>
      <c r="E98" s="5" t="s">
        <v>146</v>
      </c>
      <c r="F98" s="107">
        <v>18100</v>
      </c>
      <c r="G98" s="108">
        <f t="shared" ref="G98:G100" si="46">F98*D98</f>
        <v>18100</v>
      </c>
      <c r="H98" s="45">
        <f t="shared" si="45"/>
        <v>1.17</v>
      </c>
      <c r="I98" s="53">
        <f>H98*F98</f>
        <v>21177</v>
      </c>
      <c r="J98" s="35">
        <f>I98*D98</f>
        <v>21177</v>
      </c>
      <c r="K98" s="45">
        <f>$L$4</f>
        <v>1.21</v>
      </c>
      <c r="L98" s="35">
        <f t="shared" si="37"/>
        <v>25624.17</v>
      </c>
      <c r="M98" s="37">
        <f t="shared" si="35"/>
        <v>1.21</v>
      </c>
      <c r="O98" s="147"/>
    </row>
    <row r="99" spans="1:15" s="16" customFormat="1" ht="15" outlineLevel="1" x14ac:dyDescent="0.25">
      <c r="A99" s="46">
        <f t="shared" ref="A99:A100" si="47">A98+0.01</f>
        <v>13.03</v>
      </c>
      <c r="B99" s="47" t="s">
        <v>59</v>
      </c>
      <c r="C99" s="48"/>
      <c r="D99" s="48">
        <v>18</v>
      </c>
      <c r="E99" s="48" t="s">
        <v>145</v>
      </c>
      <c r="F99" s="49" t="s">
        <v>196</v>
      </c>
      <c r="G99" s="49" t="s">
        <v>196</v>
      </c>
      <c r="H99" s="50">
        <f t="shared" si="45"/>
        <v>1.17</v>
      </c>
      <c r="I99" s="122"/>
      <c r="J99" s="52" t="s">
        <v>159</v>
      </c>
      <c r="K99" s="45">
        <f>$L$4</f>
        <v>1.21</v>
      </c>
      <c r="L99" s="52" t="s">
        <v>159</v>
      </c>
      <c r="M99" s="37" t="e">
        <f t="shared" si="35"/>
        <v>#VALUE!</v>
      </c>
      <c r="O99" s="147"/>
    </row>
    <row r="100" spans="1:15" s="16" customFormat="1" ht="15" outlineLevel="1" x14ac:dyDescent="0.25">
      <c r="A100" s="4">
        <f t="shared" si="47"/>
        <v>13.04</v>
      </c>
      <c r="B100" s="6" t="s">
        <v>58</v>
      </c>
      <c r="C100" s="5"/>
      <c r="D100" s="5">
        <v>1</v>
      </c>
      <c r="E100" s="5" t="s">
        <v>146</v>
      </c>
      <c r="F100" s="107">
        <v>12800</v>
      </c>
      <c r="G100" s="108">
        <f t="shared" si="46"/>
        <v>12800</v>
      </c>
      <c r="H100" s="45">
        <f t="shared" si="45"/>
        <v>1.17</v>
      </c>
      <c r="I100" s="53">
        <f>H100*F100</f>
        <v>14976</v>
      </c>
      <c r="J100" s="35">
        <f>I100*D100</f>
        <v>14976</v>
      </c>
      <c r="K100" s="45">
        <f>$L$4</f>
        <v>1.21</v>
      </c>
      <c r="L100" s="35">
        <f>J100*K100</f>
        <v>18120.96</v>
      </c>
      <c r="M100" s="37">
        <f t="shared" si="35"/>
        <v>1.21</v>
      </c>
      <c r="O100" s="147"/>
    </row>
    <row r="101" spans="1:15" s="15" customFormat="1" x14ac:dyDescent="0.3">
      <c r="A101" s="17"/>
      <c r="B101" s="18"/>
      <c r="C101" s="17"/>
      <c r="D101" s="17"/>
      <c r="E101" s="17"/>
      <c r="F101" s="109"/>
      <c r="G101" s="110"/>
      <c r="H101" s="17"/>
      <c r="I101" s="17"/>
      <c r="J101" s="36"/>
      <c r="K101" s="17"/>
      <c r="L101" s="35"/>
      <c r="M101" s="37" t="e">
        <f t="shared" si="35"/>
        <v>#DIV/0!</v>
      </c>
      <c r="O101" s="148"/>
    </row>
    <row r="102" spans="1:15" s="24" customFormat="1" ht="15" x14ac:dyDescent="0.25">
      <c r="A102" s="21">
        <f>A96+1</f>
        <v>14</v>
      </c>
      <c r="B102" s="22" t="s">
        <v>57</v>
      </c>
      <c r="C102" s="75" t="s">
        <v>3</v>
      </c>
      <c r="D102" s="23"/>
      <c r="E102" s="23"/>
      <c r="F102" s="41" t="s">
        <v>173</v>
      </c>
      <c r="G102" s="72">
        <f>SUMIF(C103:C106,"",G103:G106)</f>
        <v>584254.85714285716</v>
      </c>
      <c r="H102" s="23"/>
      <c r="I102" s="23"/>
      <c r="J102" s="103">
        <f>SUMIF(C103:C106,"",J103:J106)</f>
        <v>683578.18285714276</v>
      </c>
      <c r="K102" s="23"/>
      <c r="L102" s="103">
        <f>SUM(L103:L106)</f>
        <v>827129.60125714273</v>
      </c>
      <c r="M102" s="37">
        <f t="shared" si="35"/>
        <v>1.21</v>
      </c>
      <c r="O102" s="146" t="s">
        <v>218</v>
      </c>
    </row>
    <row r="103" spans="1:15" s="16" customFormat="1" ht="27" outlineLevel="1" x14ac:dyDescent="0.25">
      <c r="A103" s="4">
        <f>A102+0.01</f>
        <v>14.01</v>
      </c>
      <c r="B103" s="6" t="s">
        <v>56</v>
      </c>
      <c r="C103" s="5"/>
      <c r="D103" s="5">
        <v>180.6</v>
      </c>
      <c r="E103" s="5" t="s">
        <v>144</v>
      </c>
      <c r="F103" s="107">
        <v>2230</v>
      </c>
      <c r="G103" s="108">
        <f>F103*D103</f>
        <v>402738</v>
      </c>
      <c r="H103" s="45">
        <f t="shared" ref="H103:H106" si="48">$H$4</f>
        <v>1.17</v>
      </c>
      <c r="I103" s="53">
        <f>H103*F103</f>
        <v>2609.1</v>
      </c>
      <c r="J103" s="35">
        <f>I103*D103</f>
        <v>471203.45999999996</v>
      </c>
      <c r="K103" s="45">
        <f>$L$4</f>
        <v>1.21</v>
      </c>
      <c r="L103" s="35">
        <f>J103*K103</f>
        <v>570156.1865999999</v>
      </c>
      <c r="M103" s="37">
        <f t="shared" si="35"/>
        <v>1.21</v>
      </c>
      <c r="O103" s="147"/>
    </row>
    <row r="104" spans="1:15" s="16" customFormat="1" ht="27" outlineLevel="1" x14ac:dyDescent="0.25">
      <c r="A104" s="4">
        <f>A103+0.01</f>
        <v>14.02</v>
      </c>
      <c r="B104" s="6" t="s">
        <v>55</v>
      </c>
      <c r="C104" s="5"/>
      <c r="D104" s="5">
        <v>8</v>
      </c>
      <c r="E104" s="5" t="s">
        <v>146</v>
      </c>
      <c r="F104" s="107">
        <v>12694.75</v>
      </c>
      <c r="G104" s="108">
        <f t="shared" ref="G104:G105" si="49">F104*D104</f>
        <v>101558</v>
      </c>
      <c r="H104" s="45">
        <f t="shared" si="48"/>
        <v>1.17</v>
      </c>
      <c r="I104" s="53">
        <f>H104*F104</f>
        <v>14852.857499999998</v>
      </c>
      <c r="J104" s="35">
        <f>I104*D104</f>
        <v>118822.85999999999</v>
      </c>
      <c r="K104" s="45">
        <f>$L$4</f>
        <v>1.21</v>
      </c>
      <c r="L104" s="35">
        <f t="shared" si="37"/>
        <v>143775.66059999997</v>
      </c>
      <c r="M104" s="37">
        <f t="shared" si="35"/>
        <v>1.21</v>
      </c>
      <c r="O104" s="147"/>
    </row>
    <row r="105" spans="1:15" s="16" customFormat="1" ht="27" outlineLevel="1" x14ac:dyDescent="0.25">
      <c r="A105" s="4">
        <f>A104+0.01</f>
        <v>14.03</v>
      </c>
      <c r="B105" s="6" t="s">
        <v>54</v>
      </c>
      <c r="C105" s="5"/>
      <c r="D105" s="5">
        <v>8</v>
      </c>
      <c r="E105" s="5" t="s">
        <v>146</v>
      </c>
      <c r="F105" s="107">
        <v>9994.8571428571431</v>
      </c>
      <c r="G105" s="108">
        <f t="shared" si="49"/>
        <v>79958.857142857145</v>
      </c>
      <c r="H105" s="45">
        <f t="shared" si="48"/>
        <v>1.17</v>
      </c>
      <c r="I105" s="53">
        <f>H105*F105</f>
        <v>11693.982857142857</v>
      </c>
      <c r="J105" s="35">
        <f>I105*D105</f>
        <v>93551.862857142856</v>
      </c>
      <c r="K105" s="45">
        <f>$L$4</f>
        <v>1.21</v>
      </c>
      <c r="L105" s="35">
        <f t="shared" si="37"/>
        <v>113197.75405714285</v>
      </c>
      <c r="M105" s="37">
        <f t="shared" si="35"/>
        <v>1.21</v>
      </c>
      <c r="O105" s="147"/>
    </row>
    <row r="106" spans="1:15" s="16" customFormat="1" ht="15" outlineLevel="1" x14ac:dyDescent="0.25">
      <c r="A106" s="46">
        <f>A105+0.01</f>
        <v>14.04</v>
      </c>
      <c r="B106" s="47" t="s">
        <v>53</v>
      </c>
      <c r="C106" s="76" t="s">
        <v>161</v>
      </c>
      <c r="D106" s="48">
        <v>23</v>
      </c>
      <c r="E106" s="48" t="s">
        <v>146</v>
      </c>
      <c r="F106" s="48"/>
      <c r="G106" s="49" t="s">
        <v>196</v>
      </c>
      <c r="H106" s="50">
        <f t="shared" si="48"/>
        <v>1.17</v>
      </c>
      <c r="I106" s="122"/>
      <c r="J106" s="52" t="s">
        <v>159</v>
      </c>
      <c r="K106" s="45">
        <f>$L$4</f>
        <v>1.21</v>
      </c>
      <c r="L106" s="52" t="s">
        <v>159</v>
      </c>
      <c r="M106" s="37" t="e">
        <f t="shared" si="35"/>
        <v>#VALUE!</v>
      </c>
      <c r="O106" s="147"/>
    </row>
    <row r="107" spans="1:15" s="15" customFormat="1" x14ac:dyDescent="0.3">
      <c r="A107" s="17"/>
      <c r="B107" s="18"/>
      <c r="C107" s="17"/>
      <c r="D107" s="17"/>
      <c r="E107" s="17"/>
      <c r="F107" s="109"/>
      <c r="G107" s="110"/>
      <c r="H107" s="17"/>
      <c r="I107" s="17"/>
      <c r="J107" s="36"/>
      <c r="K107" s="17"/>
      <c r="L107" s="35"/>
      <c r="M107" s="37" t="e">
        <f t="shared" si="35"/>
        <v>#DIV/0!</v>
      </c>
      <c r="O107" s="148"/>
    </row>
    <row r="108" spans="1:15" s="24" customFormat="1" ht="15" x14ac:dyDescent="0.25">
      <c r="A108" s="21">
        <f>A102+1</f>
        <v>15</v>
      </c>
      <c r="B108" s="22" t="s">
        <v>52</v>
      </c>
      <c r="C108" s="75" t="s">
        <v>3</v>
      </c>
      <c r="D108" s="23"/>
      <c r="E108" s="23"/>
      <c r="F108" s="41" t="s">
        <v>172</v>
      </c>
      <c r="G108" s="72">
        <f>SUMIF(C109:C115,"",G109:G115)</f>
        <v>38608</v>
      </c>
      <c r="H108" s="23"/>
      <c r="I108" s="23"/>
      <c r="J108" s="103">
        <f>SUMIF(C109:C117,"",J109:J117)</f>
        <v>45171.360000000001</v>
      </c>
      <c r="K108" s="23"/>
      <c r="L108" s="103">
        <f>SUM(L109)</f>
        <v>54657.345600000001</v>
      </c>
      <c r="M108" s="37">
        <f t="shared" si="35"/>
        <v>1.21</v>
      </c>
      <c r="O108" s="146" t="s">
        <v>226</v>
      </c>
    </row>
    <row r="109" spans="1:15" s="16" customFormat="1" ht="27" outlineLevel="1" x14ac:dyDescent="0.25">
      <c r="A109" s="4">
        <f>A108+0.01</f>
        <v>15.01</v>
      </c>
      <c r="B109" s="6" t="s">
        <v>51</v>
      </c>
      <c r="C109" s="5"/>
      <c r="D109" s="77">
        <v>6</v>
      </c>
      <c r="E109" s="78" t="s">
        <v>158</v>
      </c>
      <c r="F109" s="107">
        <f>(SUM(G110:G115))/D109</f>
        <v>6434.666666666667</v>
      </c>
      <c r="G109" s="108">
        <f>F109*D109</f>
        <v>38608</v>
      </c>
      <c r="H109" s="45">
        <f t="shared" ref="H109" si="50">$H$4</f>
        <v>1.17</v>
      </c>
      <c r="I109" s="53">
        <f>H109*F109</f>
        <v>7528.5599999999995</v>
      </c>
      <c r="J109" s="35">
        <f>I109*D109</f>
        <v>45171.360000000001</v>
      </c>
      <c r="K109" s="45">
        <f>$L$4</f>
        <v>1.21</v>
      </c>
      <c r="L109" s="35">
        <f>J109*K109</f>
        <v>54657.345600000001</v>
      </c>
      <c r="M109" s="37">
        <f t="shared" si="35"/>
        <v>1.21</v>
      </c>
      <c r="O109" s="147"/>
    </row>
    <row r="110" spans="1:15" s="16" customFormat="1" ht="15" outlineLevel="2" x14ac:dyDescent="0.25">
      <c r="A110" s="82"/>
      <c r="B110" s="83" t="s">
        <v>164</v>
      </c>
      <c r="C110" s="84" t="s">
        <v>170</v>
      </c>
      <c r="D110" s="85">
        <v>3</v>
      </c>
      <c r="E110" s="84" t="s">
        <v>158</v>
      </c>
      <c r="F110" s="107">
        <v>3718</v>
      </c>
      <c r="G110" s="108">
        <f>F110*D110</f>
        <v>11154</v>
      </c>
      <c r="H110" s="86"/>
      <c r="I110" s="87"/>
      <c r="J110" s="88"/>
      <c r="K110" s="86"/>
      <c r="L110" s="88">
        <f t="shared" si="37"/>
        <v>0</v>
      </c>
      <c r="M110" s="37" t="e">
        <f t="shared" si="35"/>
        <v>#DIV/0!</v>
      </c>
      <c r="O110" s="147"/>
    </row>
    <row r="111" spans="1:15" s="16" customFormat="1" ht="15" outlineLevel="2" x14ac:dyDescent="0.25">
      <c r="A111" s="82"/>
      <c r="B111" s="83" t="s">
        <v>166</v>
      </c>
      <c r="C111" s="84" t="s">
        <v>170</v>
      </c>
      <c r="D111" s="85">
        <v>1</v>
      </c>
      <c r="E111" s="84" t="s">
        <v>158</v>
      </c>
      <c r="F111" s="107">
        <v>5210</v>
      </c>
      <c r="G111" s="108">
        <f t="shared" ref="G111:G115" si="51">F111*D111</f>
        <v>5210</v>
      </c>
      <c r="H111" s="86"/>
      <c r="I111" s="87"/>
      <c r="J111" s="88"/>
      <c r="K111" s="86"/>
      <c r="L111" s="88">
        <f t="shared" si="37"/>
        <v>0</v>
      </c>
      <c r="M111" s="37" t="e">
        <f t="shared" si="35"/>
        <v>#DIV/0!</v>
      </c>
      <c r="O111" s="147"/>
    </row>
    <row r="112" spans="1:15" s="16" customFormat="1" ht="15" outlineLevel="2" x14ac:dyDescent="0.25">
      <c r="A112" s="82"/>
      <c r="B112" s="83" t="s">
        <v>165</v>
      </c>
      <c r="C112" s="84" t="s">
        <v>170</v>
      </c>
      <c r="D112" s="85">
        <v>1</v>
      </c>
      <c r="E112" s="84" t="s">
        <v>158</v>
      </c>
      <c r="F112" s="107">
        <v>4116</v>
      </c>
      <c r="G112" s="108">
        <f t="shared" si="51"/>
        <v>4116</v>
      </c>
      <c r="H112" s="86"/>
      <c r="I112" s="87"/>
      <c r="J112" s="88"/>
      <c r="K112" s="86"/>
      <c r="L112" s="88">
        <f t="shared" si="37"/>
        <v>0</v>
      </c>
      <c r="M112" s="37" t="e">
        <f t="shared" si="35"/>
        <v>#DIV/0!</v>
      </c>
      <c r="O112" s="147"/>
    </row>
    <row r="113" spans="1:15" s="16" customFormat="1" ht="15" outlineLevel="2" x14ac:dyDescent="0.25">
      <c r="A113" s="82"/>
      <c r="B113" s="83" t="s">
        <v>167</v>
      </c>
      <c r="C113" s="84" t="s">
        <v>170</v>
      </c>
      <c r="D113" s="85">
        <v>1</v>
      </c>
      <c r="E113" s="84" t="s">
        <v>158</v>
      </c>
      <c r="F113" s="107">
        <v>3991</v>
      </c>
      <c r="G113" s="108">
        <f t="shared" si="51"/>
        <v>3991</v>
      </c>
      <c r="H113" s="86"/>
      <c r="I113" s="87"/>
      <c r="J113" s="88"/>
      <c r="K113" s="86"/>
      <c r="L113" s="88">
        <f t="shared" si="37"/>
        <v>0</v>
      </c>
      <c r="M113" s="37" t="e">
        <f t="shared" si="35"/>
        <v>#DIV/0!</v>
      </c>
      <c r="O113" s="147"/>
    </row>
    <row r="114" spans="1:15" s="16" customFormat="1" ht="15" outlineLevel="2" x14ac:dyDescent="0.25">
      <c r="A114" s="82"/>
      <c r="B114" s="83" t="s">
        <v>168</v>
      </c>
      <c r="C114" s="84" t="s">
        <v>170</v>
      </c>
      <c r="D114" s="85">
        <v>2</v>
      </c>
      <c r="E114" s="84" t="s">
        <v>158</v>
      </c>
      <c r="F114" s="107">
        <v>3816</v>
      </c>
      <c r="G114" s="108">
        <f t="shared" si="51"/>
        <v>7632</v>
      </c>
      <c r="H114" s="86"/>
      <c r="I114" s="87"/>
      <c r="J114" s="88"/>
      <c r="K114" s="86"/>
      <c r="L114" s="88">
        <f t="shared" si="37"/>
        <v>0</v>
      </c>
      <c r="M114" s="37" t="e">
        <f t="shared" si="35"/>
        <v>#DIV/0!</v>
      </c>
      <c r="O114" s="147"/>
    </row>
    <row r="115" spans="1:15" s="16" customFormat="1" ht="15" outlineLevel="2" x14ac:dyDescent="0.25">
      <c r="A115" s="82"/>
      <c r="B115" s="83" t="s">
        <v>169</v>
      </c>
      <c r="C115" s="84" t="s">
        <v>170</v>
      </c>
      <c r="D115" s="85">
        <v>1</v>
      </c>
      <c r="E115" s="84" t="s">
        <v>158</v>
      </c>
      <c r="F115" s="107">
        <v>6505</v>
      </c>
      <c r="G115" s="108">
        <f t="shared" si="51"/>
        <v>6505</v>
      </c>
      <c r="H115" s="86"/>
      <c r="I115" s="87"/>
      <c r="J115" s="88"/>
      <c r="K115" s="86"/>
      <c r="L115" s="88">
        <f t="shared" si="37"/>
        <v>0</v>
      </c>
      <c r="M115" s="37" t="e">
        <f t="shared" si="35"/>
        <v>#DIV/0!</v>
      </c>
      <c r="O115" s="147"/>
    </row>
    <row r="116" spans="1:15" s="16" customFormat="1" ht="3" customHeight="1" outlineLevel="1" x14ac:dyDescent="0.25">
      <c r="A116" s="4"/>
      <c r="B116" s="6"/>
      <c r="C116" s="5"/>
      <c r="D116" s="77"/>
      <c r="E116" s="78"/>
      <c r="F116" s="107"/>
      <c r="G116" s="114"/>
      <c r="H116" s="45"/>
      <c r="I116" s="53"/>
      <c r="J116" s="35"/>
      <c r="K116" s="45"/>
      <c r="L116" s="35"/>
      <c r="M116" s="37" t="e">
        <f t="shared" si="35"/>
        <v>#DIV/0!</v>
      </c>
      <c r="O116" s="147"/>
    </row>
    <row r="117" spans="1:15" s="15" customFormat="1" x14ac:dyDescent="0.3">
      <c r="A117" s="17"/>
      <c r="B117" s="18"/>
      <c r="C117" s="17"/>
      <c r="D117" s="17"/>
      <c r="E117" s="17"/>
      <c r="F117" s="109"/>
      <c r="G117" s="110"/>
      <c r="H117" s="17"/>
      <c r="I117" s="17"/>
      <c r="J117" s="36"/>
      <c r="K117" s="17"/>
      <c r="L117" s="35"/>
      <c r="M117" s="37" t="e">
        <f t="shared" si="35"/>
        <v>#DIV/0!</v>
      </c>
      <c r="O117" s="148"/>
    </row>
    <row r="118" spans="1:15" s="24" customFormat="1" ht="15" x14ac:dyDescent="0.25">
      <c r="A118" s="21">
        <f>A108+1</f>
        <v>16</v>
      </c>
      <c r="B118" s="22" t="s">
        <v>50</v>
      </c>
      <c r="C118" s="75" t="s">
        <v>3</v>
      </c>
      <c r="D118" s="23"/>
      <c r="E118" s="23"/>
      <c r="F118" s="41" t="s">
        <v>247</v>
      </c>
      <c r="G118" s="72">
        <f>SUMIF(C119:C122,"",G119:G122)</f>
        <v>68186.274509803916</v>
      </c>
      <c r="H118" s="23"/>
      <c r="I118" s="23"/>
      <c r="J118" s="103">
        <f>SUMIF(C119:C122,"",J119:J122)</f>
        <v>79777.941176470573</v>
      </c>
      <c r="K118" s="23"/>
      <c r="L118" s="103">
        <f>SUM(L119:L122)</f>
        <v>96531.308823529398</v>
      </c>
      <c r="M118" s="37">
        <f t="shared" si="35"/>
        <v>1.21</v>
      </c>
      <c r="O118" s="146" t="s">
        <v>231</v>
      </c>
    </row>
    <row r="119" spans="1:15" s="16" customFormat="1" ht="15" outlineLevel="1" x14ac:dyDescent="0.25">
      <c r="A119" s="4">
        <f>A118+0.01</f>
        <v>16.010000000000002</v>
      </c>
      <c r="B119" s="6" t="s">
        <v>49</v>
      </c>
      <c r="C119" s="5"/>
      <c r="D119" s="5">
        <v>6</v>
      </c>
      <c r="E119" s="5" t="s">
        <v>146</v>
      </c>
      <c r="F119" s="107">
        <f>3600/1.02</f>
        <v>3529.4117647058824</v>
      </c>
      <c r="G119" s="108">
        <f>F119*D119</f>
        <v>21176.470588235294</v>
      </c>
      <c r="H119" s="45">
        <f t="shared" ref="H119:H122" si="52">$H$4</f>
        <v>1.17</v>
      </c>
      <c r="I119" s="53">
        <f>H119*F119</f>
        <v>4129.411764705882</v>
      </c>
      <c r="J119" s="35">
        <f>I119*D119</f>
        <v>24776.470588235294</v>
      </c>
      <c r="K119" s="45">
        <f>$L$4</f>
        <v>1.21</v>
      </c>
      <c r="L119" s="35">
        <f t="shared" si="37"/>
        <v>29979.529411764703</v>
      </c>
      <c r="M119" s="37">
        <f t="shared" si="35"/>
        <v>1.21</v>
      </c>
      <c r="O119" s="147"/>
    </row>
    <row r="120" spans="1:15" s="16" customFormat="1" ht="25.5" customHeight="1" outlineLevel="1" x14ac:dyDescent="0.25">
      <c r="A120" s="4">
        <f>A119+0.01</f>
        <v>16.020000000000003</v>
      </c>
      <c r="B120" s="6" t="s">
        <v>48</v>
      </c>
      <c r="C120" s="5"/>
      <c r="D120" s="5">
        <v>5</v>
      </c>
      <c r="E120" s="5" t="s">
        <v>146</v>
      </c>
      <c r="F120" s="107">
        <f>1050/1.02</f>
        <v>1029.4117647058824</v>
      </c>
      <c r="G120" s="108">
        <f t="shared" ref="G120:G122" si="53">F120*D120</f>
        <v>5147.0588235294126</v>
      </c>
      <c r="H120" s="45">
        <f t="shared" si="52"/>
        <v>1.17</v>
      </c>
      <c r="I120" s="53">
        <f>H120*F120</f>
        <v>1204.4117647058824</v>
      </c>
      <c r="J120" s="35">
        <f>I120*D120</f>
        <v>6022.0588235294126</v>
      </c>
      <c r="K120" s="45">
        <f>$L$4</f>
        <v>1.21</v>
      </c>
      <c r="L120" s="35">
        <f t="shared" si="37"/>
        <v>7286.6911764705892</v>
      </c>
      <c r="M120" s="37">
        <f t="shared" si="35"/>
        <v>1.21</v>
      </c>
      <c r="O120" s="147"/>
    </row>
    <row r="121" spans="1:15" s="16" customFormat="1" ht="15" outlineLevel="1" x14ac:dyDescent="0.25">
      <c r="A121" s="4">
        <f>A120+0.01</f>
        <v>16.030000000000005</v>
      </c>
      <c r="B121" s="6" t="s">
        <v>47</v>
      </c>
      <c r="C121" s="5"/>
      <c r="D121" s="5">
        <v>1</v>
      </c>
      <c r="E121" s="5" t="s">
        <v>146</v>
      </c>
      <c r="F121" s="107">
        <f>3800/1.02</f>
        <v>3725.4901960784314</v>
      </c>
      <c r="G121" s="108">
        <f t="shared" si="53"/>
        <v>3725.4901960784314</v>
      </c>
      <c r="H121" s="45">
        <f t="shared" si="52"/>
        <v>1.17</v>
      </c>
      <c r="I121" s="53">
        <f>H121*F121</f>
        <v>4358.8235294117649</v>
      </c>
      <c r="J121" s="35">
        <f>I121*D121</f>
        <v>4358.8235294117649</v>
      </c>
      <c r="K121" s="45">
        <f>$L$4</f>
        <v>1.21</v>
      </c>
      <c r="L121" s="35">
        <f t="shared" si="37"/>
        <v>5274.1764705882351</v>
      </c>
      <c r="M121" s="37">
        <f t="shared" si="35"/>
        <v>1.21</v>
      </c>
      <c r="O121" s="147"/>
    </row>
    <row r="122" spans="1:15" s="16" customFormat="1" ht="15" outlineLevel="1" x14ac:dyDescent="0.25">
      <c r="A122" s="4">
        <f>A121+0.01</f>
        <v>16.040000000000006</v>
      </c>
      <c r="B122" s="6" t="s">
        <v>46</v>
      </c>
      <c r="C122" s="5"/>
      <c r="D122" s="5">
        <v>1</v>
      </c>
      <c r="E122" s="5" t="s">
        <v>143</v>
      </c>
      <c r="F122" s="107">
        <f>38900/1.02</f>
        <v>38137.254901960783</v>
      </c>
      <c r="G122" s="108">
        <f t="shared" si="53"/>
        <v>38137.254901960783</v>
      </c>
      <c r="H122" s="45">
        <f t="shared" si="52"/>
        <v>1.17</v>
      </c>
      <c r="I122" s="53">
        <f>H122*F122</f>
        <v>44620.588235294112</v>
      </c>
      <c r="J122" s="35">
        <f>I122*D122</f>
        <v>44620.588235294112</v>
      </c>
      <c r="K122" s="45">
        <f>$L$4</f>
        <v>1.21</v>
      </c>
      <c r="L122" s="35">
        <f t="shared" si="37"/>
        <v>53990.911764705874</v>
      </c>
      <c r="M122" s="37">
        <f t="shared" si="35"/>
        <v>1.21</v>
      </c>
      <c r="O122" s="147"/>
    </row>
    <row r="123" spans="1:15" s="15" customFormat="1" x14ac:dyDescent="0.3">
      <c r="A123" s="17"/>
      <c r="B123" s="18"/>
      <c r="C123" s="17"/>
      <c r="D123" s="17"/>
      <c r="E123" s="17"/>
      <c r="F123" s="109"/>
      <c r="G123" s="110"/>
      <c r="H123" s="17"/>
      <c r="I123" s="17"/>
      <c r="J123" s="36"/>
      <c r="K123" s="17"/>
      <c r="L123" s="35"/>
      <c r="M123" s="37" t="e">
        <f t="shared" si="35"/>
        <v>#DIV/0!</v>
      </c>
      <c r="O123" s="148"/>
    </row>
    <row r="124" spans="1:15" s="24" customFormat="1" ht="15" x14ac:dyDescent="0.25">
      <c r="A124" s="21">
        <f>A118+1</f>
        <v>17</v>
      </c>
      <c r="B124" s="22" t="s">
        <v>45</v>
      </c>
      <c r="C124" s="75" t="s">
        <v>3</v>
      </c>
      <c r="D124" s="23"/>
      <c r="E124" s="23"/>
      <c r="F124" s="41" t="s">
        <v>176</v>
      </c>
      <c r="G124" s="72">
        <f>SUMIF(C125:C128,"",G125:G128)</f>
        <v>17586.974156825629</v>
      </c>
      <c r="H124" s="23"/>
      <c r="I124" s="23"/>
      <c r="J124" s="103">
        <f>SUMIF(C125:C128,"",J125:J128)</f>
        <v>20576.759763485981</v>
      </c>
      <c r="K124" s="23"/>
      <c r="L124" s="103">
        <f>SUM(L125:L128)</f>
        <v>24897.879313818041</v>
      </c>
      <c r="M124" s="37">
        <f t="shared" si="35"/>
        <v>1.2100000000000002</v>
      </c>
      <c r="O124" s="146" t="s">
        <v>231</v>
      </c>
    </row>
    <row r="125" spans="1:15" s="16" customFormat="1" ht="15" outlineLevel="1" x14ac:dyDescent="0.25">
      <c r="A125" s="4">
        <f>A124+0.01</f>
        <v>17.010000000000002</v>
      </c>
      <c r="B125" s="6" t="s">
        <v>44</v>
      </c>
      <c r="C125" s="5"/>
      <c r="D125" s="5">
        <v>5</v>
      </c>
      <c r="E125" s="5" t="s">
        <v>146</v>
      </c>
      <c r="F125" s="107">
        <v>672.9366792904201</v>
      </c>
      <c r="G125" s="108">
        <f>F125*D125</f>
        <v>3364.6833964521006</v>
      </c>
      <c r="H125" s="45">
        <f t="shared" ref="H125:H128" si="54">$H$4</f>
        <v>1.17</v>
      </c>
      <c r="I125" s="53">
        <f>H125*F125</f>
        <v>787.33591476979143</v>
      </c>
      <c r="J125" s="35">
        <f>I125*D125</f>
        <v>3936.6795738489573</v>
      </c>
      <c r="K125" s="45">
        <f>$L$4</f>
        <v>1.21</v>
      </c>
      <c r="L125" s="35">
        <f t="shared" si="37"/>
        <v>4763.3822843572379</v>
      </c>
      <c r="M125" s="37">
        <f t="shared" si="35"/>
        <v>1.21</v>
      </c>
      <c r="O125" s="147"/>
    </row>
    <row r="126" spans="1:15" s="16" customFormat="1" ht="15" outlineLevel="1" x14ac:dyDescent="0.25">
      <c r="A126" s="4">
        <f>A125+0.01</f>
        <v>17.020000000000003</v>
      </c>
      <c r="B126" s="6" t="s">
        <v>43</v>
      </c>
      <c r="C126" s="5"/>
      <c r="D126" s="5">
        <v>1</v>
      </c>
      <c r="E126" s="5" t="s">
        <v>146</v>
      </c>
      <c r="F126" s="107">
        <v>3437.6752809620252</v>
      </c>
      <c r="G126" s="108">
        <f t="shared" ref="G126:G128" si="55">F126*D126</f>
        <v>3437.6752809620252</v>
      </c>
      <c r="H126" s="45">
        <f t="shared" si="54"/>
        <v>1.17</v>
      </c>
      <c r="I126" s="53">
        <f>H126*F126</f>
        <v>4022.0800787255694</v>
      </c>
      <c r="J126" s="35">
        <f>I126*D126</f>
        <v>4022.0800787255694</v>
      </c>
      <c r="K126" s="45">
        <f>$L$4</f>
        <v>1.21</v>
      </c>
      <c r="L126" s="35">
        <f t="shared" si="37"/>
        <v>4866.7168952579386</v>
      </c>
      <c r="M126" s="37">
        <f t="shared" si="35"/>
        <v>1.21</v>
      </c>
      <c r="O126" s="147"/>
    </row>
    <row r="127" spans="1:15" s="16" customFormat="1" ht="15" outlineLevel="1" x14ac:dyDescent="0.25">
      <c r="A127" s="4">
        <f>A126+0.01</f>
        <v>17.030000000000005</v>
      </c>
      <c r="B127" s="6" t="s">
        <v>42</v>
      </c>
      <c r="C127" s="5"/>
      <c r="D127" s="5">
        <v>5</v>
      </c>
      <c r="E127" s="5" t="s">
        <v>146</v>
      </c>
      <c r="F127" s="107">
        <v>1328.0017621404602</v>
      </c>
      <c r="G127" s="108">
        <f t="shared" si="55"/>
        <v>6640.0088107023012</v>
      </c>
      <c r="H127" s="45">
        <f t="shared" si="54"/>
        <v>1.17</v>
      </c>
      <c r="I127" s="53">
        <f>H127*F127</f>
        <v>1553.7620617043383</v>
      </c>
      <c r="J127" s="35">
        <f>I127*D127</f>
        <v>7768.8103085216917</v>
      </c>
      <c r="K127" s="45">
        <f>$L$4</f>
        <v>1.21</v>
      </c>
      <c r="L127" s="35">
        <f t="shared" si="37"/>
        <v>9400.2604733112476</v>
      </c>
      <c r="M127" s="37">
        <f t="shared" si="35"/>
        <v>1.2100000000000002</v>
      </c>
      <c r="O127" s="147"/>
    </row>
    <row r="128" spans="1:15" s="16" customFormat="1" ht="15" outlineLevel="1" x14ac:dyDescent="0.25">
      <c r="A128" s="4">
        <f>A127+0.01</f>
        <v>17.040000000000006</v>
      </c>
      <c r="B128" s="6" t="s">
        <v>41</v>
      </c>
      <c r="C128" s="5"/>
      <c r="D128" s="5">
        <v>5</v>
      </c>
      <c r="E128" s="5" t="s">
        <v>146</v>
      </c>
      <c r="F128" s="107">
        <v>828.92133374184004</v>
      </c>
      <c r="G128" s="108">
        <f t="shared" si="55"/>
        <v>4144.6066687092007</v>
      </c>
      <c r="H128" s="45">
        <f t="shared" si="54"/>
        <v>1.17</v>
      </c>
      <c r="I128" s="53">
        <f>H128*F128</f>
        <v>969.83796047795283</v>
      </c>
      <c r="J128" s="35">
        <f>I128*D128</f>
        <v>4849.1898023897638</v>
      </c>
      <c r="K128" s="45">
        <f>$L$4</f>
        <v>1.21</v>
      </c>
      <c r="L128" s="35">
        <f t="shared" si="37"/>
        <v>5867.519660891614</v>
      </c>
      <c r="M128" s="37">
        <f t="shared" si="35"/>
        <v>1.21</v>
      </c>
      <c r="O128" s="147"/>
    </row>
    <row r="129" spans="1:15" s="15" customFormat="1" x14ac:dyDescent="0.3">
      <c r="A129" s="17"/>
      <c r="B129" s="18"/>
      <c r="C129" s="17"/>
      <c r="D129" s="17"/>
      <c r="E129" s="17"/>
      <c r="F129" s="109"/>
      <c r="G129" s="110"/>
      <c r="H129" s="17"/>
      <c r="I129" s="17"/>
      <c r="J129" s="36"/>
      <c r="K129" s="17"/>
      <c r="L129" s="35"/>
      <c r="M129" s="37" t="e">
        <f t="shared" si="35"/>
        <v>#DIV/0!</v>
      </c>
      <c r="O129" s="148"/>
    </row>
    <row r="130" spans="1:15" s="24" customFormat="1" ht="15" x14ac:dyDescent="0.25">
      <c r="A130" s="21">
        <f>A124+1</f>
        <v>18</v>
      </c>
      <c r="B130" s="22" t="s">
        <v>40</v>
      </c>
      <c r="C130" s="75" t="s">
        <v>3</v>
      </c>
      <c r="D130" s="23"/>
      <c r="E130" s="23"/>
      <c r="F130" s="41" t="s">
        <v>185</v>
      </c>
      <c r="G130" s="72">
        <f>SUMIF(C131:C132,"",G131:G132)</f>
        <v>24600</v>
      </c>
      <c r="H130" s="23"/>
      <c r="I130" s="23"/>
      <c r="J130" s="103">
        <f>SUMIF(C131:C132,"",J131:J132)</f>
        <v>28782</v>
      </c>
      <c r="K130" s="23"/>
      <c r="L130" s="103">
        <f>SUM(L131)</f>
        <v>34826.22</v>
      </c>
      <c r="M130" s="37">
        <f t="shared" si="35"/>
        <v>1.21</v>
      </c>
      <c r="O130" s="146" t="s">
        <v>239</v>
      </c>
    </row>
    <row r="131" spans="1:15" s="16" customFormat="1" ht="27" outlineLevel="1" x14ac:dyDescent="0.25">
      <c r="A131" s="4">
        <f>A130+0.01</f>
        <v>18.010000000000002</v>
      </c>
      <c r="B131" s="6" t="s">
        <v>39</v>
      </c>
      <c r="C131" s="5"/>
      <c r="D131" s="5">
        <v>1</v>
      </c>
      <c r="E131" s="5" t="s">
        <v>162</v>
      </c>
      <c r="F131" s="107">
        <v>24600</v>
      </c>
      <c r="G131" s="108">
        <f>F131*D131</f>
        <v>24600</v>
      </c>
      <c r="H131" s="45">
        <f t="shared" ref="H131" si="56">$H$4</f>
        <v>1.17</v>
      </c>
      <c r="I131" s="53">
        <f>H131*F131</f>
        <v>28782</v>
      </c>
      <c r="J131" s="35">
        <f>I131*D131</f>
        <v>28782</v>
      </c>
      <c r="K131" s="45">
        <f>$L$4</f>
        <v>1.21</v>
      </c>
      <c r="L131" s="35">
        <f t="shared" si="37"/>
        <v>34826.22</v>
      </c>
      <c r="M131" s="37">
        <f t="shared" si="35"/>
        <v>1.21</v>
      </c>
      <c r="O131" s="147"/>
    </row>
    <row r="132" spans="1:15" s="16" customFormat="1" ht="15" outlineLevel="1" x14ac:dyDescent="0.25">
      <c r="A132" s="4"/>
      <c r="B132" s="7" t="s">
        <v>38</v>
      </c>
      <c r="C132" s="5"/>
      <c r="D132" s="5"/>
      <c r="E132" s="5"/>
      <c r="F132" s="107"/>
      <c r="G132" s="114"/>
      <c r="H132" s="5"/>
      <c r="I132" s="5"/>
      <c r="J132" s="35"/>
      <c r="K132" s="5"/>
      <c r="L132" s="35"/>
      <c r="M132" s="37" t="e">
        <f t="shared" si="35"/>
        <v>#DIV/0!</v>
      </c>
      <c r="O132" s="147"/>
    </row>
    <row r="133" spans="1:15" s="15" customFormat="1" x14ac:dyDescent="0.3">
      <c r="A133" s="17"/>
      <c r="B133" s="18"/>
      <c r="C133" s="17"/>
      <c r="D133" s="17"/>
      <c r="E133" s="17"/>
      <c r="F133" s="109"/>
      <c r="G133" s="110"/>
      <c r="H133" s="17"/>
      <c r="I133" s="17"/>
      <c r="J133" s="36"/>
      <c r="K133" s="17"/>
      <c r="L133" s="35"/>
      <c r="M133" s="37" t="e">
        <f t="shared" si="35"/>
        <v>#DIV/0!</v>
      </c>
      <c r="O133" s="148"/>
    </row>
    <row r="134" spans="1:15" s="24" customFormat="1" ht="15" x14ac:dyDescent="0.25">
      <c r="A134" s="21">
        <f>A130+1</f>
        <v>19</v>
      </c>
      <c r="B134" s="22" t="s">
        <v>37</v>
      </c>
      <c r="C134" s="75" t="s">
        <v>3</v>
      </c>
      <c r="D134" s="23"/>
      <c r="E134" s="23"/>
      <c r="F134" s="41" t="s">
        <v>200</v>
      </c>
      <c r="G134" s="72">
        <f>SUMIF(C135:C138,"",G135:G138)</f>
        <v>31958.799999999999</v>
      </c>
      <c r="H134" s="23"/>
      <c r="I134" s="23"/>
      <c r="J134" s="103">
        <f>SUMIF(C135:C138,"",J135:J138)</f>
        <v>37391.795999999995</v>
      </c>
      <c r="K134" s="23"/>
      <c r="L134" s="103">
        <f>SUM(L135:L138)</f>
        <v>45244.073159999993</v>
      </c>
      <c r="M134" s="37">
        <f t="shared" si="35"/>
        <v>1.21</v>
      </c>
      <c r="O134" s="146" t="s">
        <v>242</v>
      </c>
    </row>
    <row r="135" spans="1:15" s="16" customFormat="1" ht="15" outlineLevel="1" x14ac:dyDescent="0.25">
      <c r="A135" s="4">
        <f>A134+0.01</f>
        <v>19.010000000000002</v>
      </c>
      <c r="B135" s="6" t="s">
        <v>36</v>
      </c>
      <c r="C135" s="5"/>
      <c r="D135" s="5">
        <v>7</v>
      </c>
      <c r="E135" s="5" t="s">
        <v>146</v>
      </c>
      <c r="F135" s="107">
        <v>540</v>
      </c>
      <c r="G135" s="108">
        <f>F135*D135</f>
        <v>3780</v>
      </c>
      <c r="H135" s="45">
        <f t="shared" ref="H135:H138" si="57">$H$4</f>
        <v>1.17</v>
      </c>
      <c r="I135" s="53">
        <f>H135*F135</f>
        <v>631.79999999999995</v>
      </c>
      <c r="J135" s="35">
        <f>I135*D135</f>
        <v>4422.5999999999995</v>
      </c>
      <c r="K135" s="45">
        <f>$L$4</f>
        <v>1.21</v>
      </c>
      <c r="L135" s="35">
        <f t="shared" si="37"/>
        <v>5351.3459999999995</v>
      </c>
      <c r="M135" s="37">
        <f t="shared" si="35"/>
        <v>1.21</v>
      </c>
      <c r="O135" s="147"/>
    </row>
    <row r="136" spans="1:15" s="16" customFormat="1" ht="15" outlineLevel="1" x14ac:dyDescent="0.25">
      <c r="A136" s="4">
        <f>A135+0.01</f>
        <v>19.020000000000003</v>
      </c>
      <c r="B136" s="6" t="s">
        <v>35</v>
      </c>
      <c r="C136" s="5"/>
      <c r="D136" s="5">
        <v>14</v>
      </c>
      <c r="E136" s="5" t="s">
        <v>146</v>
      </c>
      <c r="F136" s="107">
        <v>1442.2</v>
      </c>
      <c r="G136" s="108">
        <f t="shared" ref="G136:G138" si="58">F136*D136</f>
        <v>20190.8</v>
      </c>
      <c r="H136" s="45">
        <f t="shared" si="57"/>
        <v>1.17</v>
      </c>
      <c r="I136" s="53">
        <f>H136*F136</f>
        <v>1687.374</v>
      </c>
      <c r="J136" s="35">
        <f>I136*D136</f>
        <v>23623.236000000001</v>
      </c>
      <c r="K136" s="45">
        <f>$L$4</f>
        <v>1.21</v>
      </c>
      <c r="L136" s="35">
        <f t="shared" si="37"/>
        <v>28584.115559999998</v>
      </c>
      <c r="M136" s="37">
        <f t="shared" si="35"/>
        <v>1.21</v>
      </c>
      <c r="O136" s="147"/>
    </row>
    <row r="137" spans="1:15" s="16" customFormat="1" ht="15" outlineLevel="1" x14ac:dyDescent="0.25">
      <c r="A137" s="4">
        <f>A136+0.01</f>
        <v>19.030000000000005</v>
      </c>
      <c r="B137" s="6" t="s">
        <v>34</v>
      </c>
      <c r="C137" s="5"/>
      <c r="D137" s="5">
        <v>8</v>
      </c>
      <c r="E137" s="5" t="s">
        <v>146</v>
      </c>
      <c r="F137" s="107">
        <v>491</v>
      </c>
      <c r="G137" s="108">
        <f t="shared" si="58"/>
        <v>3928</v>
      </c>
      <c r="H137" s="45">
        <f t="shared" si="57"/>
        <v>1.17</v>
      </c>
      <c r="I137" s="53">
        <f>H137*F137</f>
        <v>574.46999999999991</v>
      </c>
      <c r="J137" s="35">
        <f>I137*D137</f>
        <v>4595.7599999999993</v>
      </c>
      <c r="K137" s="45">
        <f>$L$4</f>
        <v>1.21</v>
      </c>
      <c r="L137" s="35">
        <f t="shared" si="37"/>
        <v>5560.8695999999991</v>
      </c>
      <c r="M137" s="37">
        <f t="shared" ref="M137:M179" si="59">L137/J137</f>
        <v>1.21</v>
      </c>
      <c r="O137" s="147"/>
    </row>
    <row r="138" spans="1:15" s="16" customFormat="1" ht="15" outlineLevel="1" x14ac:dyDescent="0.25">
      <c r="A138" s="4">
        <f>A137+0.01</f>
        <v>19.040000000000006</v>
      </c>
      <c r="B138" s="6" t="s">
        <v>33</v>
      </c>
      <c r="C138" s="5"/>
      <c r="D138" s="5">
        <v>14</v>
      </c>
      <c r="E138" s="5" t="s">
        <v>146</v>
      </c>
      <c r="F138" s="107">
        <v>290</v>
      </c>
      <c r="G138" s="108">
        <f t="shared" si="58"/>
        <v>4060</v>
      </c>
      <c r="H138" s="45">
        <f t="shared" si="57"/>
        <v>1.17</v>
      </c>
      <c r="I138" s="53">
        <f>H138*F138</f>
        <v>339.29999999999995</v>
      </c>
      <c r="J138" s="35">
        <f>I138*D138</f>
        <v>4750.1999999999989</v>
      </c>
      <c r="K138" s="45">
        <f>$L$4</f>
        <v>1.21</v>
      </c>
      <c r="L138" s="35">
        <f t="shared" si="37"/>
        <v>5747.7419999999984</v>
      </c>
      <c r="M138" s="37">
        <f t="shared" si="59"/>
        <v>1.21</v>
      </c>
      <c r="O138" s="147"/>
    </row>
    <row r="139" spans="1:15" s="15" customFormat="1" x14ac:dyDescent="0.3">
      <c r="A139" s="17"/>
      <c r="B139" s="18"/>
      <c r="C139" s="17"/>
      <c r="D139" s="17"/>
      <c r="E139" s="17"/>
      <c r="F139" s="107"/>
      <c r="G139" s="110"/>
      <c r="H139" s="17"/>
      <c r="I139" s="17"/>
      <c r="J139" s="36"/>
      <c r="K139" s="17"/>
      <c r="L139" s="35"/>
      <c r="M139" s="37" t="e">
        <f t="shared" si="59"/>
        <v>#DIV/0!</v>
      </c>
      <c r="O139" s="148"/>
    </row>
    <row r="140" spans="1:15" s="24" customFormat="1" ht="15" x14ac:dyDescent="0.25">
      <c r="A140" s="21">
        <f>A134+1</f>
        <v>20</v>
      </c>
      <c r="B140" s="22" t="s">
        <v>32</v>
      </c>
      <c r="C140" s="75" t="s">
        <v>3</v>
      </c>
      <c r="D140" s="23"/>
      <c r="E140" s="23"/>
      <c r="F140" s="41" t="s">
        <v>188</v>
      </c>
      <c r="G140" s="72">
        <f>SUMIF(C141:C147,"",G141:G147)</f>
        <v>243922.27619047614</v>
      </c>
      <c r="H140" s="23"/>
      <c r="I140" s="23"/>
      <c r="J140" s="103">
        <f>SUMIF(C141:C147,"",J141:J147)</f>
        <v>285389.06314285705</v>
      </c>
      <c r="K140" s="23"/>
      <c r="L140" s="103">
        <f>SUM(L141:L147)</f>
        <v>345320.76640285709</v>
      </c>
      <c r="M140" s="37">
        <f t="shared" si="59"/>
        <v>1.2100000000000002</v>
      </c>
      <c r="O140" s="146" t="s">
        <v>237</v>
      </c>
    </row>
    <row r="141" spans="1:15" s="16" customFormat="1" ht="15" outlineLevel="1" x14ac:dyDescent="0.25">
      <c r="A141" s="4">
        <f t="shared" ref="A141:A147" si="60">A140+0.01</f>
        <v>20.010000000000002</v>
      </c>
      <c r="B141" s="6" t="s">
        <v>31</v>
      </c>
      <c r="C141" s="5"/>
      <c r="D141" s="5">
        <v>1</v>
      </c>
      <c r="E141" s="5" t="s">
        <v>143</v>
      </c>
      <c r="F141" s="107">
        <f>(1260*$H$3)/1.05</f>
        <v>19380</v>
      </c>
      <c r="G141" s="108">
        <f>F141*D141</f>
        <v>19380</v>
      </c>
      <c r="H141" s="45">
        <f t="shared" ref="H141:H147" si="61">$H$4</f>
        <v>1.17</v>
      </c>
      <c r="I141" s="53">
        <f t="shared" ref="I141:I147" si="62">H141*F141</f>
        <v>22674.6</v>
      </c>
      <c r="J141" s="35">
        <f t="shared" ref="J141:J147" si="63">I141*D141</f>
        <v>22674.6</v>
      </c>
      <c r="K141" s="45">
        <f t="shared" ref="K141:K147" si="64">$L$4</f>
        <v>1.21</v>
      </c>
      <c r="L141" s="35">
        <f t="shared" ref="L141:L181" si="65">J141*K141</f>
        <v>27436.265999999996</v>
      </c>
      <c r="M141" s="37">
        <f t="shared" si="59"/>
        <v>1.21</v>
      </c>
      <c r="O141" s="147"/>
    </row>
    <row r="142" spans="1:15" s="16" customFormat="1" ht="15" outlineLevel="1" x14ac:dyDescent="0.25">
      <c r="A142" s="4">
        <f t="shared" si="60"/>
        <v>20.020000000000003</v>
      </c>
      <c r="B142" s="6" t="s">
        <v>30</v>
      </c>
      <c r="C142" s="5"/>
      <c r="D142" s="5">
        <v>77</v>
      </c>
      <c r="E142" s="5" t="s">
        <v>146</v>
      </c>
      <c r="F142" s="107">
        <f>(98*$H$3)/1.05</f>
        <v>1507.333333333333</v>
      </c>
      <c r="G142" s="108">
        <f t="shared" ref="G142:G147" si="66">F142*D142</f>
        <v>116064.66666666664</v>
      </c>
      <c r="H142" s="45">
        <f t="shared" si="61"/>
        <v>1.17</v>
      </c>
      <c r="I142" s="53">
        <f t="shared" si="62"/>
        <v>1763.5799999999995</v>
      </c>
      <c r="J142" s="35">
        <f t="shared" si="63"/>
        <v>135795.65999999995</v>
      </c>
      <c r="K142" s="45">
        <f t="shared" si="64"/>
        <v>1.21</v>
      </c>
      <c r="L142" s="35">
        <f t="shared" si="65"/>
        <v>164312.74859999993</v>
      </c>
      <c r="M142" s="37">
        <f t="shared" si="59"/>
        <v>1.21</v>
      </c>
      <c r="O142" s="147"/>
    </row>
    <row r="143" spans="1:15" s="16" customFormat="1" ht="15" outlineLevel="1" x14ac:dyDescent="0.25">
      <c r="A143" s="4">
        <f t="shared" si="60"/>
        <v>20.030000000000005</v>
      </c>
      <c r="B143" s="6" t="s">
        <v>29</v>
      </c>
      <c r="C143" s="5"/>
      <c r="D143" s="5">
        <v>71</v>
      </c>
      <c r="E143" s="5" t="s">
        <v>146</v>
      </c>
      <c r="F143" s="107">
        <f>(12.6*$H$3)/1.05</f>
        <v>193.79999999999998</v>
      </c>
      <c r="G143" s="108">
        <f t="shared" si="66"/>
        <v>13759.8</v>
      </c>
      <c r="H143" s="45">
        <f t="shared" si="61"/>
        <v>1.17</v>
      </c>
      <c r="I143" s="53">
        <f t="shared" si="62"/>
        <v>226.74599999999995</v>
      </c>
      <c r="J143" s="35">
        <f t="shared" si="63"/>
        <v>16098.965999999997</v>
      </c>
      <c r="K143" s="45">
        <f t="shared" si="64"/>
        <v>1.21</v>
      </c>
      <c r="L143" s="35">
        <f t="shared" si="65"/>
        <v>19479.748859999996</v>
      </c>
      <c r="M143" s="37">
        <f t="shared" si="59"/>
        <v>1.21</v>
      </c>
      <c r="O143" s="147"/>
    </row>
    <row r="144" spans="1:15" s="16" customFormat="1" ht="27" outlineLevel="1" x14ac:dyDescent="0.25">
      <c r="A144" s="4">
        <f t="shared" si="60"/>
        <v>20.040000000000006</v>
      </c>
      <c r="B144" s="6" t="s">
        <v>28</v>
      </c>
      <c r="C144" s="5"/>
      <c r="D144" s="5">
        <v>6</v>
      </c>
      <c r="E144" s="5" t="s">
        <v>146</v>
      </c>
      <c r="F144" s="107">
        <f>(61.6*$H$3)/1.05</f>
        <v>947.46666666666658</v>
      </c>
      <c r="G144" s="108">
        <f t="shared" si="66"/>
        <v>5684.7999999999993</v>
      </c>
      <c r="H144" s="45">
        <f t="shared" si="61"/>
        <v>1.17</v>
      </c>
      <c r="I144" s="53">
        <f t="shared" si="62"/>
        <v>1108.5359999999998</v>
      </c>
      <c r="J144" s="35">
        <f t="shared" si="63"/>
        <v>6651.2159999999985</v>
      </c>
      <c r="K144" s="45">
        <f t="shared" si="64"/>
        <v>1.21</v>
      </c>
      <c r="L144" s="35">
        <f t="shared" si="65"/>
        <v>8047.9713599999977</v>
      </c>
      <c r="M144" s="37">
        <f t="shared" si="59"/>
        <v>1.21</v>
      </c>
      <c r="O144" s="147"/>
    </row>
    <row r="145" spans="1:15" s="16" customFormat="1" ht="15" outlineLevel="1" x14ac:dyDescent="0.25">
      <c r="A145" s="4">
        <f t="shared" si="60"/>
        <v>20.050000000000008</v>
      </c>
      <c r="B145" s="6" t="s">
        <v>27</v>
      </c>
      <c r="C145" s="5"/>
      <c r="D145" s="5">
        <v>6</v>
      </c>
      <c r="E145" s="5" t="s">
        <v>146</v>
      </c>
      <c r="F145" s="107">
        <f>(116.2*$H$3)/1.05</f>
        <v>1787.2666666666664</v>
      </c>
      <c r="G145" s="108">
        <f t="shared" si="66"/>
        <v>10723.599999999999</v>
      </c>
      <c r="H145" s="45">
        <f t="shared" si="61"/>
        <v>1.17</v>
      </c>
      <c r="I145" s="53">
        <f t="shared" si="62"/>
        <v>2091.1019999999994</v>
      </c>
      <c r="J145" s="35">
        <f t="shared" si="63"/>
        <v>12546.611999999997</v>
      </c>
      <c r="K145" s="45">
        <f t="shared" si="64"/>
        <v>1.21</v>
      </c>
      <c r="L145" s="35">
        <f t="shared" si="65"/>
        <v>15181.400519999996</v>
      </c>
      <c r="M145" s="37">
        <f t="shared" si="59"/>
        <v>1.21</v>
      </c>
      <c r="O145" s="147"/>
    </row>
    <row r="146" spans="1:15" s="16" customFormat="1" ht="27" outlineLevel="1" x14ac:dyDescent="0.25">
      <c r="A146" s="4">
        <f t="shared" si="60"/>
        <v>20.060000000000009</v>
      </c>
      <c r="B146" s="6" t="s">
        <v>26</v>
      </c>
      <c r="C146" s="5"/>
      <c r="D146" s="5">
        <v>6</v>
      </c>
      <c r="E146" s="5" t="s">
        <v>146</v>
      </c>
      <c r="F146" s="107">
        <f>(95.2*$H$3)/1.05</f>
        <v>1464.2666666666667</v>
      </c>
      <c r="G146" s="108">
        <f t="shared" si="66"/>
        <v>8785.6</v>
      </c>
      <c r="H146" s="45">
        <f t="shared" si="61"/>
        <v>1.17</v>
      </c>
      <c r="I146" s="53">
        <f t="shared" si="62"/>
        <v>1713.1919999999998</v>
      </c>
      <c r="J146" s="35">
        <f t="shared" si="63"/>
        <v>10279.151999999998</v>
      </c>
      <c r="K146" s="45">
        <f t="shared" si="64"/>
        <v>1.21</v>
      </c>
      <c r="L146" s="35">
        <f t="shared" si="65"/>
        <v>12437.773919999998</v>
      </c>
      <c r="M146" s="37">
        <f t="shared" si="59"/>
        <v>1.21</v>
      </c>
      <c r="O146" s="147"/>
    </row>
    <row r="147" spans="1:15" s="16" customFormat="1" ht="15" outlineLevel="1" x14ac:dyDescent="0.25">
      <c r="A147" s="4">
        <f t="shared" si="60"/>
        <v>20.070000000000011</v>
      </c>
      <c r="B147" s="6" t="s">
        <v>25</v>
      </c>
      <c r="C147" s="5"/>
      <c r="D147" s="5">
        <v>1</v>
      </c>
      <c r="E147" s="5" t="s">
        <v>143</v>
      </c>
      <c r="F147" s="107">
        <f>73000/1.05</f>
        <v>69523.809523809527</v>
      </c>
      <c r="G147" s="108">
        <f t="shared" si="66"/>
        <v>69523.809523809527</v>
      </c>
      <c r="H147" s="45">
        <f t="shared" si="61"/>
        <v>1.17</v>
      </c>
      <c r="I147" s="53">
        <f t="shared" si="62"/>
        <v>81342.857142857145</v>
      </c>
      <c r="J147" s="35">
        <f t="shared" si="63"/>
        <v>81342.857142857145</v>
      </c>
      <c r="K147" s="45">
        <f t="shared" si="64"/>
        <v>1.21</v>
      </c>
      <c r="L147" s="35">
        <f t="shared" si="65"/>
        <v>98424.857142857145</v>
      </c>
      <c r="M147" s="37">
        <f t="shared" si="59"/>
        <v>1.21</v>
      </c>
      <c r="O147" s="147"/>
    </row>
    <row r="148" spans="1:15" s="15" customFormat="1" x14ac:dyDescent="0.3">
      <c r="A148" s="17"/>
      <c r="B148" s="18"/>
      <c r="C148" s="17"/>
      <c r="D148" s="17"/>
      <c r="E148" s="17"/>
      <c r="F148" s="109"/>
      <c r="G148" s="110"/>
      <c r="H148" s="17"/>
      <c r="I148" s="17"/>
      <c r="J148" s="36"/>
      <c r="K148" s="17"/>
      <c r="L148" s="35"/>
      <c r="M148" s="37" t="e">
        <f t="shared" si="59"/>
        <v>#DIV/0!</v>
      </c>
      <c r="O148" s="148"/>
    </row>
    <row r="149" spans="1:15" s="24" customFormat="1" ht="15" x14ac:dyDescent="0.25">
      <c r="A149" s="21">
        <f>A140+1</f>
        <v>21</v>
      </c>
      <c r="B149" s="22" t="s">
        <v>24</v>
      </c>
      <c r="C149" s="75" t="s">
        <v>3</v>
      </c>
      <c r="D149" s="23"/>
      <c r="E149" s="23"/>
      <c r="F149" s="41" t="s">
        <v>184</v>
      </c>
      <c r="G149" s="72">
        <f>SUMIF(C150:C153,"",G150:G153)</f>
        <v>382108</v>
      </c>
      <c r="H149" s="23"/>
      <c r="I149" s="23"/>
      <c r="J149" s="103">
        <f>SUMIF(C150:C153,"",J150:J153)</f>
        <v>447066.36</v>
      </c>
      <c r="K149" s="23"/>
      <c r="L149" s="103">
        <f>SUMIF(C150:C153,"",L150:L153)</f>
        <v>540950.29559999995</v>
      </c>
      <c r="M149" s="37">
        <f t="shared" si="59"/>
        <v>1.21</v>
      </c>
      <c r="O149" s="146" t="s">
        <v>241</v>
      </c>
    </row>
    <row r="150" spans="1:15" s="16" customFormat="1" ht="108" outlineLevel="1" x14ac:dyDescent="0.25">
      <c r="A150" s="4">
        <f>A149+0.01</f>
        <v>21.01</v>
      </c>
      <c r="B150" s="6" t="s">
        <v>259</v>
      </c>
      <c r="C150" s="5"/>
      <c r="D150" s="5">
        <v>1</v>
      </c>
      <c r="E150" s="5" t="s">
        <v>143</v>
      </c>
      <c r="F150" s="107">
        <f>106314+43719+34857+14298+3932+19660+26254+35745+44800</f>
        <v>329579</v>
      </c>
      <c r="G150" s="108">
        <f>F150*D150</f>
        <v>329579</v>
      </c>
      <c r="H150" s="45">
        <f t="shared" ref="H150:H152" si="67">$H$4</f>
        <v>1.17</v>
      </c>
      <c r="I150" s="53">
        <f>H150*F150</f>
        <v>385607.43</v>
      </c>
      <c r="J150" s="35">
        <f>I150*D150</f>
        <v>385607.43</v>
      </c>
      <c r="K150" s="45">
        <f>$L$4</f>
        <v>1.21</v>
      </c>
      <c r="L150" s="35">
        <f t="shared" si="65"/>
        <v>466584.9903</v>
      </c>
      <c r="M150" s="37">
        <f t="shared" si="59"/>
        <v>1.21</v>
      </c>
      <c r="O150" s="147"/>
    </row>
    <row r="151" spans="1:15" s="16" customFormat="1" ht="27" outlineLevel="1" x14ac:dyDescent="0.25">
      <c r="A151" s="4">
        <f>A150+0.01</f>
        <v>21.020000000000003</v>
      </c>
      <c r="B151" s="6" t="s">
        <v>258</v>
      </c>
      <c r="C151" s="8"/>
      <c r="D151" s="5">
        <v>1</v>
      </c>
      <c r="E151" s="5" t="s">
        <v>143</v>
      </c>
      <c r="F151" s="107">
        <v>52529</v>
      </c>
      <c r="G151" s="108">
        <f>F151*D151</f>
        <v>52529</v>
      </c>
      <c r="H151" s="45">
        <f t="shared" si="67"/>
        <v>1.17</v>
      </c>
      <c r="I151" s="53">
        <f>H151*F151</f>
        <v>61458.929999999993</v>
      </c>
      <c r="J151" s="35">
        <f>I151*D151</f>
        <v>61458.929999999993</v>
      </c>
      <c r="K151" s="45">
        <f>$L$4</f>
        <v>1.21</v>
      </c>
      <c r="L151" s="35">
        <f t="shared" si="65"/>
        <v>74365.305299999993</v>
      </c>
      <c r="M151" s="37">
        <f t="shared" si="59"/>
        <v>1.21</v>
      </c>
      <c r="O151" s="147"/>
    </row>
    <row r="152" spans="1:15" s="16" customFormat="1" ht="54" outlineLevel="1" x14ac:dyDescent="0.25">
      <c r="A152" s="46">
        <f>A151+0.01</f>
        <v>21.030000000000005</v>
      </c>
      <c r="B152" s="47" t="s">
        <v>256</v>
      </c>
      <c r="C152" s="159" t="s">
        <v>255</v>
      </c>
      <c r="D152" s="48">
        <v>1</v>
      </c>
      <c r="E152" s="48" t="s">
        <v>143</v>
      </c>
      <c r="F152" s="49">
        <f>604382+136600+84268+235087+33332+89898+10169+8936-105616</f>
        <v>1097056</v>
      </c>
      <c r="G152" s="158">
        <f>F152*D152</f>
        <v>1097056</v>
      </c>
      <c r="H152" s="50">
        <f t="shared" si="67"/>
        <v>1.17</v>
      </c>
      <c r="I152" s="56">
        <f>H152*F152</f>
        <v>1283555.52</v>
      </c>
      <c r="J152" s="51">
        <f>I152*D152</f>
        <v>1283555.52</v>
      </c>
      <c r="K152" s="50">
        <f>$L$4</f>
        <v>1.21</v>
      </c>
      <c r="L152" s="51">
        <f t="shared" si="65"/>
        <v>1553102.1791999999</v>
      </c>
      <c r="M152" s="37">
        <f t="shared" si="59"/>
        <v>1.21</v>
      </c>
      <c r="O152" s="147"/>
    </row>
    <row r="153" spans="1:15" s="16" customFormat="1" ht="15" outlineLevel="1" x14ac:dyDescent="0.25">
      <c r="A153" s="4"/>
      <c r="B153" s="7" t="s">
        <v>257</v>
      </c>
      <c r="C153" s="5"/>
      <c r="D153" s="5"/>
      <c r="E153" s="5"/>
      <c r="F153" s="107"/>
      <c r="G153" s="114"/>
      <c r="H153" s="5"/>
      <c r="I153" s="5"/>
      <c r="J153" s="35"/>
      <c r="K153" s="5"/>
      <c r="L153" s="35"/>
      <c r="M153" s="37" t="e">
        <f t="shared" si="59"/>
        <v>#DIV/0!</v>
      </c>
      <c r="O153" s="147"/>
    </row>
    <row r="154" spans="1:15" s="15" customFormat="1" x14ac:dyDescent="0.3">
      <c r="A154" s="17"/>
      <c r="B154" s="18"/>
      <c r="C154" s="17"/>
      <c r="D154" s="17"/>
      <c r="E154" s="17"/>
      <c r="F154" s="109"/>
      <c r="G154" s="110"/>
      <c r="H154" s="17"/>
      <c r="I154" s="17"/>
      <c r="J154" s="36"/>
      <c r="K154" s="17"/>
      <c r="L154" s="35"/>
      <c r="M154" s="37" t="e">
        <f t="shared" si="59"/>
        <v>#DIV/0!</v>
      </c>
      <c r="O154" s="148"/>
    </row>
    <row r="155" spans="1:15" s="24" customFormat="1" ht="15" x14ac:dyDescent="0.25">
      <c r="A155" s="21">
        <f>A149+1</f>
        <v>22</v>
      </c>
      <c r="B155" s="22" t="s">
        <v>23</v>
      </c>
      <c r="C155" s="75" t="s">
        <v>3</v>
      </c>
      <c r="D155" s="23"/>
      <c r="E155" s="23"/>
      <c r="F155" s="41" t="s">
        <v>171</v>
      </c>
      <c r="G155" s="72">
        <f>SUMIF(C156:C160,"",G156:G160)</f>
        <v>146130.93028571428</v>
      </c>
      <c r="H155" s="23"/>
      <c r="I155" s="23"/>
      <c r="J155" s="103">
        <f>SUMIF(C156:C160,"",J156:J160)</f>
        <v>170973.18843428569</v>
      </c>
      <c r="K155" s="23"/>
      <c r="L155" s="103">
        <f>SUM(L156:L159)</f>
        <v>206877.55800548568</v>
      </c>
      <c r="M155" s="37">
        <f t="shared" si="59"/>
        <v>1.21</v>
      </c>
      <c r="O155" s="146" t="s">
        <v>233</v>
      </c>
    </row>
    <row r="156" spans="1:15" s="16" customFormat="1" ht="15" outlineLevel="1" x14ac:dyDescent="0.25">
      <c r="A156" s="4">
        <f>A155+0.01</f>
        <v>22.01</v>
      </c>
      <c r="B156" s="6" t="s">
        <v>22</v>
      </c>
      <c r="D156" s="5">
        <v>101.22799999999999</v>
      </c>
      <c r="E156" s="5" t="s">
        <v>144</v>
      </c>
      <c r="F156" s="107">
        <v>672</v>
      </c>
      <c r="G156" s="108">
        <f>F156*D156</f>
        <v>68025.216</v>
      </c>
      <c r="H156" s="45">
        <f t="shared" ref="H156:H159" si="68">$H$4</f>
        <v>1.17</v>
      </c>
      <c r="I156" s="53">
        <f>H156*F156</f>
        <v>786.24</v>
      </c>
      <c r="J156" s="35">
        <f>I156*D156</f>
        <v>79589.502719999989</v>
      </c>
      <c r="K156" s="45">
        <f>$L$4</f>
        <v>1.21</v>
      </c>
      <c r="L156" s="35">
        <f t="shared" si="65"/>
        <v>96303.298291199986</v>
      </c>
      <c r="M156" s="37">
        <f t="shared" si="59"/>
        <v>1.21</v>
      </c>
      <c r="O156" s="147"/>
    </row>
    <row r="157" spans="1:15" s="16" customFormat="1" ht="15" outlineLevel="1" x14ac:dyDescent="0.25">
      <c r="A157" s="4">
        <f>A156+0.01</f>
        <v>22.020000000000003</v>
      </c>
      <c r="B157" s="6" t="s">
        <v>21</v>
      </c>
      <c r="D157" s="5">
        <v>53.1</v>
      </c>
      <c r="E157" s="5" t="s">
        <v>144</v>
      </c>
      <c r="F157" s="107">
        <v>540</v>
      </c>
      <c r="G157" s="108">
        <f t="shared" ref="G157:G159" si="69">F157*D157</f>
        <v>28674</v>
      </c>
      <c r="H157" s="45">
        <f t="shared" si="68"/>
        <v>1.17</v>
      </c>
      <c r="I157" s="53">
        <f>H157*F157</f>
        <v>631.79999999999995</v>
      </c>
      <c r="J157" s="35">
        <f>I157*D157</f>
        <v>33548.58</v>
      </c>
      <c r="K157" s="45">
        <f>$L$4</f>
        <v>1.21</v>
      </c>
      <c r="L157" s="35">
        <f t="shared" si="65"/>
        <v>40593.781800000004</v>
      </c>
      <c r="M157" s="37">
        <f t="shared" si="59"/>
        <v>1.21</v>
      </c>
      <c r="O157" s="147"/>
    </row>
    <row r="158" spans="1:15" s="16" customFormat="1" ht="25.5" customHeight="1" outlineLevel="1" x14ac:dyDescent="0.25">
      <c r="A158" s="4">
        <f>A157+0.01</f>
        <v>22.030000000000005</v>
      </c>
      <c r="B158" s="6" t="s">
        <v>20</v>
      </c>
      <c r="D158" s="5">
        <v>63.960000000000008</v>
      </c>
      <c r="E158" s="5" t="s">
        <v>144</v>
      </c>
      <c r="F158" s="107">
        <v>397.61904761904759</v>
      </c>
      <c r="G158" s="108">
        <f t="shared" si="69"/>
        <v>25431.714285714286</v>
      </c>
      <c r="H158" s="45">
        <f t="shared" si="68"/>
        <v>1.17</v>
      </c>
      <c r="I158" s="53">
        <f>H158*F158</f>
        <v>465.21428571428567</v>
      </c>
      <c r="J158" s="35">
        <f>I158*D158</f>
        <v>29755.105714285713</v>
      </c>
      <c r="K158" s="45">
        <f>$L$4</f>
        <v>1.21</v>
      </c>
      <c r="L158" s="35">
        <f t="shared" si="65"/>
        <v>36003.677914285712</v>
      </c>
      <c r="M158" s="37">
        <f t="shared" si="59"/>
        <v>1.21</v>
      </c>
      <c r="O158" s="147"/>
    </row>
    <row r="159" spans="1:15" s="16" customFormat="1" ht="15" outlineLevel="1" x14ac:dyDescent="0.25">
      <c r="A159" s="4">
        <f>A158+0.01</f>
        <v>22.040000000000006</v>
      </c>
      <c r="B159" s="6" t="s">
        <v>19</v>
      </c>
      <c r="D159" s="5">
        <v>2</v>
      </c>
      <c r="E159" s="5" t="s">
        <v>146</v>
      </c>
      <c r="F159" s="107">
        <v>12000</v>
      </c>
      <c r="G159" s="108">
        <f t="shared" si="69"/>
        <v>24000</v>
      </c>
      <c r="H159" s="45">
        <f t="shared" si="68"/>
        <v>1.17</v>
      </c>
      <c r="I159" s="53">
        <f>H159*F159</f>
        <v>14040</v>
      </c>
      <c r="J159" s="35">
        <f>I159*D159</f>
        <v>28080</v>
      </c>
      <c r="K159" s="45">
        <f>$L$4</f>
        <v>1.21</v>
      </c>
      <c r="L159" s="35">
        <f t="shared" si="65"/>
        <v>33976.799999999996</v>
      </c>
      <c r="M159" s="37">
        <f t="shared" si="59"/>
        <v>1.2099999999999997</v>
      </c>
      <c r="O159" s="147"/>
    </row>
    <row r="160" spans="1:15" s="15" customFormat="1" x14ac:dyDescent="0.3">
      <c r="A160" s="17"/>
      <c r="B160" s="18"/>
      <c r="C160" s="17"/>
      <c r="D160" s="17"/>
      <c r="E160" s="17"/>
      <c r="F160" s="109"/>
      <c r="G160" s="110"/>
      <c r="H160" s="17"/>
      <c r="I160" s="17"/>
      <c r="J160" s="36"/>
      <c r="K160" s="17"/>
      <c r="L160" s="35"/>
      <c r="M160" s="37" t="e">
        <f t="shared" si="59"/>
        <v>#DIV/0!</v>
      </c>
      <c r="O160" s="148"/>
    </row>
    <row r="161" spans="1:15" s="24" customFormat="1" ht="15" x14ac:dyDescent="0.25">
      <c r="A161" s="21">
        <f>A155+1</f>
        <v>23</v>
      </c>
      <c r="B161" s="22" t="s">
        <v>18</v>
      </c>
      <c r="C161" s="75" t="s">
        <v>3</v>
      </c>
      <c r="D161" s="23"/>
      <c r="E161" s="23"/>
      <c r="F161" s="41" t="s">
        <v>174</v>
      </c>
      <c r="G161" s="72">
        <f>SUMIF(C162:C171,"",G162:G171)</f>
        <v>141900</v>
      </c>
      <c r="H161" s="23"/>
      <c r="I161" s="23"/>
      <c r="J161" s="103">
        <f>SUMIF(C162:C171,"",J162:J171)</f>
        <v>166022.99999999997</v>
      </c>
      <c r="K161" s="23"/>
      <c r="L161" s="103">
        <f>SUM(L162:L171)</f>
        <v>200887.82999999996</v>
      </c>
      <c r="M161" s="37">
        <f t="shared" si="59"/>
        <v>1.21</v>
      </c>
      <c r="O161" s="146" t="s">
        <v>228</v>
      </c>
    </row>
    <row r="162" spans="1:15" s="16" customFormat="1" ht="15" outlineLevel="1" x14ac:dyDescent="0.25">
      <c r="A162" s="4">
        <f>A161+0.01</f>
        <v>23.01</v>
      </c>
      <c r="B162" s="6" t="s">
        <v>17</v>
      </c>
      <c r="C162" s="5"/>
      <c r="D162" s="5">
        <v>1</v>
      </c>
      <c r="E162" s="5" t="s">
        <v>146</v>
      </c>
      <c r="F162" s="107">
        <v>8643</v>
      </c>
      <c r="G162" s="108">
        <f>F162*D162</f>
        <v>8643</v>
      </c>
      <c r="H162" s="45">
        <f t="shared" ref="H162:H178" si="70">$H$4</f>
        <v>1.17</v>
      </c>
      <c r="I162" s="53">
        <f t="shared" ref="I162:I171" si="71">H162*F162</f>
        <v>10112.31</v>
      </c>
      <c r="J162" s="35">
        <f t="shared" ref="J162:J171" si="72">I162*D162</f>
        <v>10112.31</v>
      </c>
      <c r="K162" s="45">
        <f t="shared" ref="K162:K171" si="73">$L$4</f>
        <v>1.21</v>
      </c>
      <c r="L162" s="35">
        <f t="shared" si="65"/>
        <v>12235.8951</v>
      </c>
      <c r="M162" s="37">
        <f t="shared" si="59"/>
        <v>1.21</v>
      </c>
      <c r="O162" s="147"/>
    </row>
    <row r="163" spans="1:15" s="16" customFormat="1" ht="15" outlineLevel="1" x14ac:dyDescent="0.25">
      <c r="A163" s="4">
        <f>A162+0.01</f>
        <v>23.020000000000003</v>
      </c>
      <c r="B163" s="6" t="s">
        <v>16</v>
      </c>
      <c r="C163" s="5"/>
      <c r="D163" s="5">
        <v>3</v>
      </c>
      <c r="E163" s="5" t="s">
        <v>146</v>
      </c>
      <c r="F163" s="107">
        <v>6192</v>
      </c>
      <c r="G163" s="108">
        <f t="shared" ref="G163:G171" si="74">F163*D163</f>
        <v>18576</v>
      </c>
      <c r="H163" s="45">
        <f t="shared" si="70"/>
        <v>1.17</v>
      </c>
      <c r="I163" s="53">
        <f t="shared" si="71"/>
        <v>7244.6399999999994</v>
      </c>
      <c r="J163" s="35">
        <f t="shared" si="72"/>
        <v>21733.919999999998</v>
      </c>
      <c r="K163" s="45">
        <f t="shared" si="73"/>
        <v>1.21</v>
      </c>
      <c r="L163" s="35">
        <f t="shared" si="65"/>
        <v>26298.043199999996</v>
      </c>
      <c r="M163" s="37">
        <f t="shared" si="59"/>
        <v>1.21</v>
      </c>
      <c r="O163" s="147"/>
    </row>
    <row r="164" spans="1:15" s="16" customFormat="1" ht="15" outlineLevel="1" x14ac:dyDescent="0.25">
      <c r="A164" s="4">
        <f>A163+0.01</f>
        <v>23.030000000000005</v>
      </c>
      <c r="B164" s="6" t="s">
        <v>15</v>
      </c>
      <c r="C164" s="5"/>
      <c r="D164" s="5">
        <v>1</v>
      </c>
      <c r="E164" s="5" t="s">
        <v>146</v>
      </c>
      <c r="F164" s="107">
        <v>7224</v>
      </c>
      <c r="G164" s="108">
        <f t="shared" si="74"/>
        <v>7224</v>
      </c>
      <c r="H164" s="45">
        <f t="shared" si="70"/>
        <v>1.17</v>
      </c>
      <c r="I164" s="53">
        <f t="shared" si="71"/>
        <v>8452.08</v>
      </c>
      <c r="J164" s="35">
        <f t="shared" si="72"/>
        <v>8452.08</v>
      </c>
      <c r="K164" s="45">
        <f t="shared" si="73"/>
        <v>1.21</v>
      </c>
      <c r="L164" s="35">
        <f t="shared" si="65"/>
        <v>10227.016799999999</v>
      </c>
      <c r="M164" s="37">
        <f t="shared" si="59"/>
        <v>1.21</v>
      </c>
      <c r="O164" s="147"/>
    </row>
    <row r="165" spans="1:15" s="16" customFormat="1" ht="15" outlineLevel="1" x14ac:dyDescent="0.25">
      <c r="A165" s="4">
        <f>A164+0.01</f>
        <v>23.040000000000006</v>
      </c>
      <c r="B165" s="6" t="s">
        <v>14</v>
      </c>
      <c r="C165" s="5"/>
      <c r="D165" s="5">
        <v>3</v>
      </c>
      <c r="E165" s="5" t="s">
        <v>146</v>
      </c>
      <c r="F165" s="107">
        <v>8514</v>
      </c>
      <c r="G165" s="108">
        <f t="shared" si="74"/>
        <v>25542</v>
      </c>
      <c r="H165" s="45">
        <f t="shared" si="70"/>
        <v>1.17</v>
      </c>
      <c r="I165" s="53">
        <f t="shared" si="71"/>
        <v>9961.3799999999992</v>
      </c>
      <c r="J165" s="35">
        <f t="shared" si="72"/>
        <v>29884.14</v>
      </c>
      <c r="K165" s="45">
        <f t="shared" si="73"/>
        <v>1.21</v>
      </c>
      <c r="L165" s="35">
        <f t="shared" si="65"/>
        <v>36159.809399999998</v>
      </c>
      <c r="M165" s="37">
        <f t="shared" si="59"/>
        <v>1.21</v>
      </c>
      <c r="O165" s="147"/>
    </row>
    <row r="166" spans="1:15" s="16" customFormat="1" ht="15" outlineLevel="1" x14ac:dyDescent="0.25">
      <c r="A166" s="4">
        <f t="shared" ref="A166:A171" si="75">A165+0.01</f>
        <v>23.050000000000008</v>
      </c>
      <c r="B166" s="6" t="s">
        <v>13</v>
      </c>
      <c r="C166" s="5"/>
      <c r="D166" s="5">
        <v>2</v>
      </c>
      <c r="E166" s="5" t="s">
        <v>146</v>
      </c>
      <c r="F166" s="107">
        <v>14448</v>
      </c>
      <c r="G166" s="108">
        <f t="shared" si="74"/>
        <v>28896</v>
      </c>
      <c r="H166" s="45">
        <f t="shared" si="70"/>
        <v>1.17</v>
      </c>
      <c r="I166" s="53">
        <f t="shared" si="71"/>
        <v>16904.16</v>
      </c>
      <c r="J166" s="35">
        <f t="shared" si="72"/>
        <v>33808.32</v>
      </c>
      <c r="K166" s="45">
        <f t="shared" si="73"/>
        <v>1.21</v>
      </c>
      <c r="L166" s="35">
        <f t="shared" si="65"/>
        <v>40908.067199999998</v>
      </c>
      <c r="M166" s="37">
        <f t="shared" si="59"/>
        <v>1.21</v>
      </c>
      <c r="O166" s="147"/>
    </row>
    <row r="167" spans="1:15" s="16" customFormat="1" ht="15" outlineLevel="1" x14ac:dyDescent="0.25">
      <c r="A167" s="4">
        <f t="shared" si="75"/>
        <v>23.060000000000009</v>
      </c>
      <c r="B167" s="6" t="s">
        <v>12</v>
      </c>
      <c r="C167" s="5"/>
      <c r="D167" s="5">
        <v>1</v>
      </c>
      <c r="E167" s="5" t="s">
        <v>146</v>
      </c>
      <c r="F167" s="107">
        <v>11481</v>
      </c>
      <c r="G167" s="108">
        <f t="shared" si="74"/>
        <v>11481</v>
      </c>
      <c r="H167" s="45">
        <f t="shared" si="70"/>
        <v>1.17</v>
      </c>
      <c r="I167" s="53">
        <f t="shared" si="71"/>
        <v>13432.769999999999</v>
      </c>
      <c r="J167" s="35">
        <f t="shared" si="72"/>
        <v>13432.769999999999</v>
      </c>
      <c r="K167" s="45">
        <f t="shared" si="73"/>
        <v>1.21</v>
      </c>
      <c r="L167" s="35">
        <f t="shared" si="65"/>
        <v>16253.651699999999</v>
      </c>
      <c r="M167" s="37">
        <f t="shared" si="59"/>
        <v>1.21</v>
      </c>
      <c r="O167" s="147"/>
    </row>
    <row r="168" spans="1:15" s="16" customFormat="1" ht="15" outlineLevel="1" x14ac:dyDescent="0.25">
      <c r="A168" s="4">
        <f t="shared" si="75"/>
        <v>23.070000000000011</v>
      </c>
      <c r="B168" s="6" t="s">
        <v>11</v>
      </c>
      <c r="C168" s="5"/>
      <c r="D168" s="5">
        <v>1</v>
      </c>
      <c r="E168" s="5" t="s">
        <v>146</v>
      </c>
      <c r="F168" s="107">
        <v>9804</v>
      </c>
      <c r="G168" s="108">
        <f t="shared" si="74"/>
        <v>9804</v>
      </c>
      <c r="H168" s="45">
        <f t="shared" si="70"/>
        <v>1.17</v>
      </c>
      <c r="I168" s="53">
        <f t="shared" si="71"/>
        <v>11470.679999999998</v>
      </c>
      <c r="J168" s="35">
        <f t="shared" si="72"/>
        <v>11470.679999999998</v>
      </c>
      <c r="K168" s="45">
        <f t="shared" si="73"/>
        <v>1.21</v>
      </c>
      <c r="L168" s="35">
        <f t="shared" si="65"/>
        <v>13879.522799999997</v>
      </c>
      <c r="M168" s="37">
        <f t="shared" si="59"/>
        <v>1.21</v>
      </c>
      <c r="O168" s="147"/>
    </row>
    <row r="169" spans="1:15" s="16" customFormat="1" ht="15" outlineLevel="1" x14ac:dyDescent="0.25">
      <c r="A169" s="4">
        <f t="shared" si="75"/>
        <v>23.080000000000013</v>
      </c>
      <c r="B169" s="6" t="s">
        <v>10</v>
      </c>
      <c r="C169" s="5"/>
      <c r="D169" s="5">
        <v>1</v>
      </c>
      <c r="E169" s="5" t="s">
        <v>146</v>
      </c>
      <c r="F169" s="107">
        <v>9417</v>
      </c>
      <c r="G169" s="108">
        <f t="shared" si="74"/>
        <v>9417</v>
      </c>
      <c r="H169" s="45">
        <f t="shared" si="70"/>
        <v>1.17</v>
      </c>
      <c r="I169" s="53">
        <f t="shared" si="71"/>
        <v>11017.89</v>
      </c>
      <c r="J169" s="35">
        <f t="shared" si="72"/>
        <v>11017.89</v>
      </c>
      <c r="K169" s="45">
        <f t="shared" si="73"/>
        <v>1.21</v>
      </c>
      <c r="L169" s="35">
        <f t="shared" si="65"/>
        <v>13331.6469</v>
      </c>
      <c r="M169" s="37">
        <f t="shared" si="59"/>
        <v>1.21</v>
      </c>
      <c r="O169" s="147"/>
    </row>
    <row r="170" spans="1:15" s="16" customFormat="1" ht="15" outlineLevel="1" x14ac:dyDescent="0.25">
      <c r="A170" s="4">
        <f t="shared" si="75"/>
        <v>23.090000000000014</v>
      </c>
      <c r="B170" s="6" t="s">
        <v>9</v>
      </c>
      <c r="C170" s="5"/>
      <c r="D170" s="5">
        <v>2</v>
      </c>
      <c r="E170" s="5" t="s">
        <v>146</v>
      </c>
      <c r="F170" s="107">
        <v>4902</v>
      </c>
      <c r="G170" s="108">
        <f t="shared" si="74"/>
        <v>9804</v>
      </c>
      <c r="H170" s="45">
        <f t="shared" si="70"/>
        <v>1.17</v>
      </c>
      <c r="I170" s="53">
        <f t="shared" si="71"/>
        <v>5735.3399999999992</v>
      </c>
      <c r="J170" s="35">
        <f t="shared" si="72"/>
        <v>11470.679999999998</v>
      </c>
      <c r="K170" s="45">
        <f t="shared" si="73"/>
        <v>1.21</v>
      </c>
      <c r="L170" s="35">
        <f t="shared" si="65"/>
        <v>13879.522799999997</v>
      </c>
      <c r="M170" s="37">
        <f t="shared" si="59"/>
        <v>1.21</v>
      </c>
      <c r="O170" s="147"/>
    </row>
    <row r="171" spans="1:15" s="16" customFormat="1" ht="15" outlineLevel="1" x14ac:dyDescent="0.25">
      <c r="A171" s="4">
        <f t="shared" si="75"/>
        <v>23.100000000000016</v>
      </c>
      <c r="B171" s="6" t="s">
        <v>8</v>
      </c>
      <c r="C171" s="5"/>
      <c r="D171" s="5">
        <v>1</v>
      </c>
      <c r="E171" s="5" t="s">
        <v>146</v>
      </c>
      <c r="F171" s="107">
        <v>12513</v>
      </c>
      <c r="G171" s="108">
        <f t="shared" si="74"/>
        <v>12513</v>
      </c>
      <c r="H171" s="45">
        <f t="shared" si="70"/>
        <v>1.17</v>
      </c>
      <c r="I171" s="53">
        <f t="shared" si="71"/>
        <v>14640.21</v>
      </c>
      <c r="J171" s="35">
        <f t="shared" si="72"/>
        <v>14640.21</v>
      </c>
      <c r="K171" s="45">
        <f t="shared" si="73"/>
        <v>1.21</v>
      </c>
      <c r="L171" s="35">
        <f t="shared" si="65"/>
        <v>17714.6541</v>
      </c>
      <c r="M171" s="37">
        <f t="shared" si="59"/>
        <v>1.21</v>
      </c>
      <c r="O171" s="147"/>
    </row>
    <row r="172" spans="1:15" s="15" customFormat="1" x14ac:dyDescent="0.3">
      <c r="A172" s="17"/>
      <c r="B172" s="18"/>
      <c r="C172" s="17"/>
      <c r="D172" s="17"/>
      <c r="E172" s="17"/>
      <c r="F172" s="109"/>
      <c r="G172" s="110"/>
      <c r="H172" s="67"/>
      <c r="I172" s="17"/>
      <c r="J172" s="36"/>
      <c r="K172" s="67"/>
      <c r="L172" s="35"/>
      <c r="M172" s="37" t="e">
        <f t="shared" si="59"/>
        <v>#DIV/0!</v>
      </c>
      <c r="O172" s="148"/>
    </row>
    <row r="173" spans="1:15" s="24" customFormat="1" ht="15" x14ac:dyDescent="0.25">
      <c r="A173" s="21">
        <f>A161+1</f>
        <v>24</v>
      </c>
      <c r="B173" s="22" t="s">
        <v>197</v>
      </c>
      <c r="C173" s="75" t="s">
        <v>3</v>
      </c>
      <c r="D173" s="23"/>
      <c r="E173" s="23"/>
      <c r="F173" s="41" t="s">
        <v>199</v>
      </c>
      <c r="G173" s="72">
        <f>SUMIF(C174,"",G174)</f>
        <v>265500</v>
      </c>
      <c r="H173" s="23"/>
      <c r="I173" s="23"/>
      <c r="J173" s="103">
        <f>SUMIF(C174,"",J174)</f>
        <v>310635</v>
      </c>
      <c r="K173" s="23"/>
      <c r="L173" s="103">
        <f>SUM(L174)</f>
        <v>375868.35</v>
      </c>
      <c r="M173" s="37">
        <f t="shared" si="59"/>
        <v>1.21</v>
      </c>
      <c r="O173" s="146" t="s">
        <v>244</v>
      </c>
    </row>
    <row r="174" spans="1:15" s="16" customFormat="1" ht="15" outlineLevel="1" x14ac:dyDescent="0.25">
      <c r="A174" s="4">
        <f t="shared" ref="A174" si="76">A173+0.01</f>
        <v>24.01</v>
      </c>
      <c r="B174" s="6" t="s">
        <v>195</v>
      </c>
      <c r="C174" s="5"/>
      <c r="D174" s="5">
        <v>3</v>
      </c>
      <c r="E174" s="5" t="s">
        <v>146</v>
      </c>
      <c r="F174" s="107">
        <v>88500</v>
      </c>
      <c r="G174" s="108">
        <f t="shared" ref="G174" si="77">F174*D174</f>
        <v>265500</v>
      </c>
      <c r="H174" s="93">
        <f t="shared" si="70"/>
        <v>1.17</v>
      </c>
      <c r="I174" s="53">
        <f>H174*F174</f>
        <v>103545</v>
      </c>
      <c r="J174" s="53">
        <f>I174*D174</f>
        <v>310635</v>
      </c>
      <c r="K174" s="93">
        <f>$L$4</f>
        <v>1.21</v>
      </c>
      <c r="L174" s="105">
        <f t="shared" ref="L174" si="78">J174*K174</f>
        <v>375868.35</v>
      </c>
      <c r="M174" s="37">
        <f t="shared" si="59"/>
        <v>1.21</v>
      </c>
      <c r="O174" s="147"/>
    </row>
    <row r="175" spans="1:15" s="16" customFormat="1" ht="15" x14ac:dyDescent="0.25">
      <c r="A175" s="4"/>
      <c r="B175" s="6"/>
      <c r="C175" s="5"/>
      <c r="D175" s="5"/>
      <c r="E175" s="5"/>
      <c r="F175" s="107"/>
      <c r="G175" s="108"/>
      <c r="H175" s="53"/>
      <c r="I175" s="53"/>
      <c r="J175" s="35"/>
      <c r="K175" s="35"/>
      <c r="L175" s="35"/>
      <c r="M175" s="37" t="e">
        <f t="shared" si="59"/>
        <v>#DIV/0!</v>
      </c>
      <c r="O175" s="147"/>
    </row>
    <row r="176" spans="1:15" s="24" customFormat="1" ht="15" x14ac:dyDescent="0.25">
      <c r="A176" s="21">
        <f>A173+1</f>
        <v>25</v>
      </c>
      <c r="B176" s="22" t="s">
        <v>7</v>
      </c>
      <c r="C176" s="75" t="s">
        <v>3</v>
      </c>
      <c r="D176" s="23"/>
      <c r="E176" s="23"/>
      <c r="F176" s="41" t="s">
        <v>250</v>
      </c>
      <c r="G176" s="72">
        <f>SUMIF(C177:C178,"",G177:G178)</f>
        <v>148025.92156862747</v>
      </c>
      <c r="H176" s="23"/>
      <c r="I176" s="23"/>
      <c r="J176" s="103">
        <f>SUMIF(C177:C178,"",J177:J178)</f>
        <v>173190.32823529409</v>
      </c>
      <c r="K176" s="23"/>
      <c r="L176" s="103">
        <f>SUM(L177:L178)</f>
        <v>209560.29716470587</v>
      </c>
      <c r="M176" s="37">
        <f t="shared" si="59"/>
        <v>1.2100000000000002</v>
      </c>
      <c r="O176" s="146" t="s">
        <v>233</v>
      </c>
    </row>
    <row r="177" spans="1:18" s="16" customFormat="1" ht="15" outlineLevel="1" x14ac:dyDescent="0.25">
      <c r="A177" s="4">
        <f t="shared" ref="A177:A178" si="79">A176+0.01</f>
        <v>25.01</v>
      </c>
      <c r="B177" s="6" t="s">
        <v>6</v>
      </c>
      <c r="C177" s="5"/>
      <c r="D177" s="5">
        <v>1678</v>
      </c>
      <c r="E177" s="5" t="s">
        <v>144</v>
      </c>
      <c r="F177" s="107">
        <f>40/1.02</f>
        <v>39.215686274509807</v>
      </c>
      <c r="G177" s="108">
        <f>F177*D177</f>
        <v>65803.921568627455</v>
      </c>
      <c r="H177" s="45">
        <f t="shared" si="70"/>
        <v>1.17</v>
      </c>
      <c r="I177" s="53">
        <f>H177*F177</f>
        <v>45.882352941176471</v>
      </c>
      <c r="J177" s="35">
        <f>I177*D177</f>
        <v>76990.588235294112</v>
      </c>
      <c r="K177" s="45">
        <f>$L$4</f>
        <v>1.21</v>
      </c>
      <c r="L177" s="35">
        <f t="shared" si="65"/>
        <v>93158.611764705871</v>
      </c>
      <c r="M177" s="37">
        <f t="shared" si="59"/>
        <v>1.21</v>
      </c>
      <c r="O177" s="147"/>
    </row>
    <row r="178" spans="1:18" s="16" customFormat="1" ht="27" outlineLevel="1" x14ac:dyDescent="0.25">
      <c r="A178" s="4">
        <f t="shared" si="79"/>
        <v>25.020000000000003</v>
      </c>
      <c r="B178" s="6" t="s">
        <v>5</v>
      </c>
      <c r="C178" s="5"/>
      <c r="D178" s="5">
        <v>1678</v>
      </c>
      <c r="E178" s="5" t="s">
        <v>144</v>
      </c>
      <c r="F178" s="107">
        <v>49</v>
      </c>
      <c r="G178" s="108">
        <f>F178*D178</f>
        <v>82222</v>
      </c>
      <c r="H178" s="45">
        <f t="shared" si="70"/>
        <v>1.17</v>
      </c>
      <c r="I178" s="53">
        <f>H178*F178</f>
        <v>57.33</v>
      </c>
      <c r="J178" s="35">
        <f>I178*D178</f>
        <v>96199.739999999991</v>
      </c>
      <c r="K178" s="45">
        <f>$L$4</f>
        <v>1.21</v>
      </c>
      <c r="L178" s="35">
        <f t="shared" si="65"/>
        <v>116401.68539999999</v>
      </c>
      <c r="M178" s="37">
        <f t="shared" si="59"/>
        <v>1.21</v>
      </c>
      <c r="O178" s="147"/>
    </row>
    <row r="179" spans="1:18" s="26" customFormat="1" x14ac:dyDescent="0.3">
      <c r="A179" s="25"/>
      <c r="B179" s="30"/>
      <c r="C179" s="25"/>
      <c r="D179" s="25"/>
      <c r="E179" s="25"/>
      <c r="F179" s="117" t="s">
        <v>186</v>
      </c>
      <c r="G179" s="118">
        <f>G177+G118+G24-G27+G16</f>
        <v>367439.80392156867</v>
      </c>
      <c r="H179" s="25"/>
      <c r="I179" s="25"/>
      <c r="J179" s="38"/>
      <c r="K179" s="25"/>
      <c r="L179" s="35"/>
      <c r="M179" s="37" t="e">
        <f t="shared" si="59"/>
        <v>#DIV/0!</v>
      </c>
      <c r="O179" s="149"/>
    </row>
    <row r="180" spans="1:18" s="34" customFormat="1" ht="15" x14ac:dyDescent="0.25">
      <c r="A180" s="31">
        <f>A176+1</f>
        <v>26</v>
      </c>
      <c r="B180" s="32" t="s">
        <v>4</v>
      </c>
      <c r="C180" s="75" t="s">
        <v>3</v>
      </c>
      <c r="D180" s="33"/>
      <c r="E180" s="33"/>
      <c r="F180" s="92" t="s">
        <v>175</v>
      </c>
      <c r="G180" s="72">
        <f>SUMIF(C181:C181,"",G181:G181)</f>
        <v>0</v>
      </c>
      <c r="H180" s="23"/>
      <c r="I180" s="23"/>
      <c r="J180" s="103">
        <f>SUMIF(C181,"",J181)</f>
        <v>0</v>
      </c>
      <c r="K180" s="23"/>
      <c r="L180" s="103">
        <f>SUM(L181)</f>
        <v>0</v>
      </c>
      <c r="M180" s="37" t="e">
        <f>L180/J180</f>
        <v>#DIV/0!</v>
      </c>
      <c r="N180" s="34" t="e">
        <f>M180*J180</f>
        <v>#DIV/0!</v>
      </c>
      <c r="O180" s="150" t="s">
        <v>233</v>
      </c>
    </row>
    <row r="181" spans="1:18" s="20" customFormat="1" ht="41.25" outlineLevel="1" thickBot="1" x14ac:dyDescent="0.3">
      <c r="A181" s="4">
        <f t="shared" ref="A181" si="80">A180+0.01</f>
        <v>26.01</v>
      </c>
      <c r="B181" s="28" t="s">
        <v>2</v>
      </c>
      <c r="C181" s="29"/>
      <c r="D181" s="29">
        <v>0</v>
      </c>
      <c r="E181" s="29" t="s">
        <v>143</v>
      </c>
      <c r="F181" s="119">
        <v>4500</v>
      </c>
      <c r="G181" s="120">
        <f>F181*D181</f>
        <v>0</v>
      </c>
      <c r="H181" s="45">
        <f t="shared" ref="H181" si="81">$H$4</f>
        <v>1.17</v>
      </c>
      <c r="I181" s="128">
        <f>H181*F181</f>
        <v>5265</v>
      </c>
      <c r="J181" s="39">
        <f>I181*D181</f>
        <v>0</v>
      </c>
      <c r="K181" s="45">
        <f>$L$4</f>
        <v>1.21</v>
      </c>
      <c r="L181" s="35">
        <f t="shared" si="65"/>
        <v>0</v>
      </c>
      <c r="M181" s="96"/>
      <c r="O181" s="151"/>
    </row>
    <row r="182" spans="1:18" s="20" customFormat="1" ht="15.75" thickTop="1" x14ac:dyDescent="0.25">
      <c r="A182" s="4"/>
      <c r="B182" s="19"/>
      <c r="C182" s="27"/>
      <c r="D182" s="27"/>
      <c r="E182" s="27"/>
      <c r="F182" s="126"/>
      <c r="G182" s="127"/>
      <c r="H182" s="25"/>
      <c r="I182" s="53"/>
      <c r="J182" s="35"/>
      <c r="K182" s="15"/>
      <c r="L182" s="35"/>
      <c r="M182" s="96"/>
      <c r="O182" s="151"/>
    </row>
    <row r="183" spans="1:18" s="15" customFormat="1" x14ac:dyDescent="0.3">
      <c r="A183" s="17"/>
      <c r="B183" s="18"/>
      <c r="C183" s="17"/>
      <c r="D183" s="17"/>
      <c r="E183" s="17"/>
      <c r="F183" s="109"/>
      <c r="G183" s="121">
        <f>SUMIF(C9:C181,"R",G9:G181)</f>
        <v>4175092.6782379472</v>
      </c>
      <c r="H183" s="45">
        <f>1.17</f>
        <v>1.17</v>
      </c>
      <c r="I183" s="143"/>
      <c r="J183" s="101">
        <f>SUMIF(C9:C181,"R",J9:J181)</f>
        <v>4884858.4335383978</v>
      </c>
      <c r="K183" s="45">
        <f>$L$4</f>
        <v>1.21</v>
      </c>
      <c r="L183" s="101">
        <f>SUMIF(C9:C181,"R",L9:L181)</f>
        <v>5910678.7045814609</v>
      </c>
      <c r="M183" s="102">
        <f>L9+L16+L24+L31+L48+L57+L63+L68+L76+L80+L84+L96+L102+L108+L118+L124+L130+L134+L140+L149+L155+L161+L176+L180+L173+L45</f>
        <v>5910678.7045814618</v>
      </c>
      <c r="N183" s="144">
        <f>J180+J176+J173+J161+J155+J149+J140+J134+J130+J124+J118+J108+J102+J96+J84+J80+J76+J68+J63+J57+J48+J45+J31+J24+J16+J9</f>
        <v>4884858.4335383978</v>
      </c>
      <c r="O183" s="148"/>
    </row>
    <row r="184" spans="1:18" s="15" customFormat="1" x14ac:dyDescent="0.3">
      <c r="A184" s="17"/>
      <c r="B184" s="18"/>
      <c r="C184" s="17"/>
      <c r="D184" s="17"/>
      <c r="E184" s="17"/>
      <c r="F184" s="17"/>
      <c r="G184" s="17"/>
      <c r="I184" s="17"/>
      <c r="J184" s="17"/>
      <c r="L184" s="144"/>
      <c r="M184" s="104"/>
      <c r="O184" s="148"/>
    </row>
    <row r="185" spans="1:18" s="15" customFormat="1" x14ac:dyDescent="0.3">
      <c r="A185" s="17"/>
      <c r="B185" s="18"/>
      <c r="C185" s="17"/>
      <c r="D185" s="17"/>
      <c r="E185" s="17"/>
      <c r="F185" s="17"/>
      <c r="G185" s="17"/>
      <c r="I185" s="17"/>
      <c r="J185" s="17"/>
      <c r="L185" s="144"/>
      <c r="M185" s="102"/>
      <c r="O185" s="148"/>
    </row>
    <row r="186" spans="1:18" s="15" customFormat="1" ht="15" x14ac:dyDescent="0.25">
      <c r="A186" s="97" t="s">
        <v>1</v>
      </c>
      <c r="B186" s="166" t="s">
        <v>138</v>
      </c>
      <c r="C186" s="166"/>
      <c r="D186" s="166"/>
      <c r="E186" s="166"/>
      <c r="F186" s="166"/>
      <c r="G186" s="166"/>
      <c r="H186" s="166"/>
      <c r="I186" s="166"/>
      <c r="J186" s="166"/>
      <c r="K186" s="130"/>
      <c r="L186" s="130"/>
      <c r="M186" s="130"/>
      <c r="N186" s="17"/>
      <c r="O186" s="148"/>
      <c r="P186" s="55"/>
      <c r="Q186" s="55"/>
    </row>
    <row r="187" spans="1:18" s="15" customFormat="1" ht="126.75" customHeight="1" x14ac:dyDescent="0.25">
      <c r="A187" s="98"/>
      <c r="B187" s="166" t="s">
        <v>150</v>
      </c>
      <c r="C187" s="166"/>
      <c r="D187" s="166"/>
      <c r="E187" s="166"/>
      <c r="F187" s="166"/>
      <c r="G187" s="166"/>
      <c r="H187" s="166"/>
      <c r="I187" s="166"/>
      <c r="J187" s="166"/>
      <c r="K187" s="106"/>
      <c r="L187" s="130"/>
      <c r="M187" s="130"/>
      <c r="N187" s="58"/>
      <c r="O187" s="152"/>
      <c r="P187" s="58"/>
      <c r="Q187" s="58"/>
      <c r="R187" s="58"/>
    </row>
    <row r="188" spans="1:18" s="15" customFormat="1" x14ac:dyDescent="0.3">
      <c r="A188" s="97" t="s">
        <v>0</v>
      </c>
      <c r="B188" s="18"/>
      <c r="C188" s="17"/>
      <c r="D188" s="17"/>
      <c r="E188" s="17"/>
      <c r="F188" s="79"/>
      <c r="G188" s="89"/>
      <c r="H188" s="17"/>
      <c r="I188" s="17"/>
      <c r="J188" s="17"/>
      <c r="K188" s="17"/>
      <c r="L188" s="17"/>
      <c r="M188" s="17"/>
      <c r="N188" s="17"/>
      <c r="O188" s="148"/>
      <c r="P188" s="55"/>
      <c r="Q188" s="55"/>
    </row>
    <row r="189" spans="1:18" s="15" customFormat="1" ht="23.25" customHeight="1" x14ac:dyDescent="0.25">
      <c r="A189" s="99"/>
      <c r="B189" s="167" t="s">
        <v>136</v>
      </c>
      <c r="C189" s="167"/>
      <c r="D189" s="134"/>
      <c r="E189" s="134"/>
      <c r="F189" s="80"/>
      <c r="G189" s="90"/>
      <c r="H189" s="134"/>
      <c r="I189" s="134"/>
      <c r="J189" s="134"/>
      <c r="K189" s="134"/>
      <c r="L189" s="134"/>
      <c r="M189" s="134"/>
      <c r="N189" s="134"/>
      <c r="O189" s="148"/>
      <c r="P189" s="55"/>
      <c r="Q189" s="55"/>
    </row>
    <row r="190" spans="1:18" s="15" customFormat="1" ht="36" customHeight="1" x14ac:dyDescent="0.25">
      <c r="A190" s="99"/>
      <c r="B190" s="167" t="s">
        <v>137</v>
      </c>
      <c r="C190" s="167"/>
      <c r="D190" s="134"/>
      <c r="E190" s="134"/>
      <c r="F190" s="80"/>
      <c r="G190" s="90"/>
      <c r="H190" s="134"/>
      <c r="I190" s="134"/>
      <c r="J190" s="134"/>
      <c r="K190" s="134"/>
      <c r="L190" s="134"/>
      <c r="M190" s="134"/>
      <c r="N190" s="134"/>
      <c r="O190" s="148"/>
      <c r="P190" s="55"/>
      <c r="Q190" s="55"/>
    </row>
    <row r="191" spans="1:18" x14ac:dyDescent="0.3">
      <c r="A191" s="100"/>
      <c r="J191" s="1"/>
      <c r="L191" s="1"/>
      <c r="M191" s="1"/>
      <c r="N191" s="1"/>
      <c r="P191" s="54"/>
      <c r="Q191" s="54"/>
    </row>
    <row r="192" spans="1:18" x14ac:dyDescent="0.3">
      <c r="A192" s="63" t="s">
        <v>151</v>
      </c>
      <c r="J192" s="42"/>
      <c r="L192" s="42"/>
      <c r="M192" s="42"/>
      <c r="N192" s="59"/>
      <c r="O192" s="153"/>
      <c r="P192" s="60"/>
      <c r="Q192" s="61"/>
      <c r="R192" s="61"/>
    </row>
    <row r="193" spans="1:18" ht="15" x14ac:dyDescent="0.25">
      <c r="A193" s="100"/>
      <c r="B193" s="64" t="s">
        <v>152</v>
      </c>
      <c r="C193" s="64"/>
      <c r="D193" s="64"/>
      <c r="E193" s="64"/>
      <c r="F193" s="81"/>
      <c r="G193" s="91"/>
      <c r="H193" s="64"/>
      <c r="I193" s="64"/>
      <c r="J193" s="64"/>
      <c r="K193" s="64"/>
      <c r="L193" s="64"/>
      <c r="M193" s="64"/>
      <c r="N193" s="64"/>
      <c r="O193" s="168"/>
      <c r="P193" s="168"/>
      <c r="Q193" s="168"/>
      <c r="R193" s="168"/>
    </row>
    <row r="194" spans="1:18" ht="15" x14ac:dyDescent="0.25">
      <c r="A194" s="100"/>
      <c r="B194" s="62"/>
      <c r="J194" s="42"/>
      <c r="L194" s="42"/>
      <c r="M194" s="42"/>
      <c r="N194" s="59"/>
      <c r="O194" s="153"/>
      <c r="P194" s="60"/>
    </row>
    <row r="195" spans="1:18" x14ac:dyDescent="0.3">
      <c r="A195" s="63" t="s">
        <v>153</v>
      </c>
      <c r="J195" s="42"/>
      <c r="L195" s="42"/>
      <c r="M195" s="42"/>
      <c r="N195" s="59"/>
      <c r="O195" s="153"/>
      <c r="P195" s="60"/>
    </row>
    <row r="196" spans="1:18" ht="15" x14ac:dyDescent="0.25">
      <c r="A196" s="100"/>
      <c r="B196" s="64" t="s">
        <v>154</v>
      </c>
      <c r="C196" s="64"/>
      <c r="D196" s="64"/>
      <c r="E196" s="64"/>
      <c r="F196" s="81"/>
      <c r="G196" s="91"/>
      <c r="H196" s="64"/>
      <c r="I196" s="64"/>
      <c r="J196" s="64"/>
      <c r="K196" s="64"/>
      <c r="L196" s="64"/>
      <c r="M196" s="42"/>
      <c r="N196" s="64"/>
      <c r="O196" s="154"/>
      <c r="P196" s="64"/>
      <c r="Q196" s="64"/>
      <c r="R196" s="64"/>
    </row>
    <row r="197" spans="1:18" x14ac:dyDescent="0.3">
      <c r="A197" s="100"/>
      <c r="C197" s="170"/>
      <c r="D197" s="170"/>
      <c r="E197" s="170"/>
      <c r="F197" s="170"/>
      <c r="G197" s="170"/>
      <c r="H197" s="170"/>
      <c r="I197" s="170"/>
      <c r="J197" s="170"/>
      <c r="K197" s="133"/>
      <c r="L197" s="133"/>
      <c r="M197" s="42"/>
      <c r="N197" s="69"/>
      <c r="P197" s="54"/>
      <c r="Q197" s="54"/>
    </row>
    <row r="198" spans="1:18" x14ac:dyDescent="0.3">
      <c r="A198" s="100"/>
      <c r="C198" s="171" t="s">
        <v>155</v>
      </c>
      <c r="D198" s="171"/>
      <c r="E198" s="171"/>
      <c r="F198" s="171"/>
      <c r="G198" s="171"/>
      <c r="H198" s="171"/>
      <c r="I198" s="171"/>
      <c r="J198" s="171"/>
      <c r="K198" s="131"/>
      <c r="L198" s="131"/>
      <c r="M198" s="42"/>
      <c r="N198" s="68"/>
      <c r="P198" s="54"/>
      <c r="Q198" s="54"/>
    </row>
    <row r="199" spans="1:18" x14ac:dyDescent="0.3">
      <c r="A199" s="100"/>
      <c r="C199" s="169" t="s">
        <v>156</v>
      </c>
      <c r="D199" s="169"/>
      <c r="E199" s="169"/>
      <c r="F199" s="169"/>
      <c r="G199" s="169"/>
      <c r="H199" s="169"/>
      <c r="I199" s="169"/>
      <c r="J199" s="169"/>
      <c r="K199" s="132"/>
      <c r="L199" s="132"/>
      <c r="M199" s="132"/>
      <c r="N199" s="65"/>
      <c r="P199" s="54"/>
      <c r="Q199" s="54"/>
    </row>
    <row r="200" spans="1:18" x14ac:dyDescent="0.3">
      <c r="A200" s="100"/>
    </row>
    <row r="201" spans="1:18" x14ac:dyDescent="0.3">
      <c r="A201" s="100"/>
    </row>
    <row r="202" spans="1:18" x14ac:dyDescent="0.3">
      <c r="A202" s="100"/>
    </row>
    <row r="203" spans="1:18" x14ac:dyDescent="0.3">
      <c r="A203" s="100"/>
    </row>
  </sheetData>
  <mergeCells count="9">
    <mergeCell ref="F43:G43"/>
    <mergeCell ref="B187:J187"/>
    <mergeCell ref="B190:C190"/>
    <mergeCell ref="O193:R193"/>
    <mergeCell ref="C199:J199"/>
    <mergeCell ref="C197:J197"/>
    <mergeCell ref="C198:J198"/>
    <mergeCell ref="B186:J186"/>
    <mergeCell ref="B189:C189"/>
  </mergeCells>
  <conditionalFormatting sqref="H10:H14 K49:K54">
    <cfRule type="cellIs" dxfId="239" priority="390" operator="equal">
      <formula>1</formula>
    </cfRule>
    <cfRule type="cellIs" dxfId="238" priority="391" operator="lessThan">
      <formula>1</formula>
    </cfRule>
    <cfRule type="cellIs" dxfId="237" priority="392" operator="greaterThan">
      <formula>1</formula>
    </cfRule>
  </conditionalFormatting>
  <conditionalFormatting sqref="H10:H14 K49:K54">
    <cfRule type="cellIs" priority="389" operator="between">
      <formula>1000</formula>
      <formula>-1000</formula>
    </cfRule>
  </conditionalFormatting>
  <conditionalFormatting sqref="H25:H26">
    <cfRule type="cellIs" dxfId="236" priority="385" operator="equal">
      <formula>1</formula>
    </cfRule>
    <cfRule type="cellIs" dxfId="235" priority="386" operator="lessThan">
      <formula>1</formula>
    </cfRule>
    <cfRule type="cellIs" dxfId="234" priority="387" operator="greaterThan">
      <formula>1</formula>
    </cfRule>
  </conditionalFormatting>
  <conditionalFormatting sqref="H25:H26">
    <cfRule type="cellIs" priority="384" operator="between">
      <formula>1000</formula>
      <formula>-1000</formula>
    </cfRule>
  </conditionalFormatting>
  <conditionalFormatting sqref="H27:H28">
    <cfRule type="cellIs" dxfId="233" priority="380" operator="equal">
      <formula>1</formula>
    </cfRule>
    <cfRule type="cellIs" dxfId="232" priority="381" operator="lessThan">
      <formula>1</formula>
    </cfRule>
    <cfRule type="cellIs" dxfId="231" priority="382" operator="greaterThan">
      <formula>1</formula>
    </cfRule>
  </conditionalFormatting>
  <conditionalFormatting sqref="H27:H28">
    <cfRule type="cellIs" priority="379" operator="between">
      <formula>1000</formula>
      <formula>-1000</formula>
    </cfRule>
  </conditionalFormatting>
  <conditionalFormatting sqref="H17:H18">
    <cfRule type="cellIs" dxfId="230" priority="375" operator="equal">
      <formula>1</formula>
    </cfRule>
    <cfRule type="cellIs" dxfId="229" priority="376" operator="lessThan">
      <formula>1</formula>
    </cfRule>
    <cfRule type="cellIs" dxfId="228" priority="377" operator="greaterThan">
      <formula>1</formula>
    </cfRule>
  </conditionalFormatting>
  <conditionalFormatting sqref="H17:H18">
    <cfRule type="cellIs" priority="374" operator="between">
      <formula>1000</formula>
      <formula>-1000</formula>
    </cfRule>
  </conditionalFormatting>
  <conditionalFormatting sqref="H19:H20">
    <cfRule type="cellIs" dxfId="227" priority="371" operator="equal">
      <formula>1</formula>
    </cfRule>
    <cfRule type="cellIs" dxfId="226" priority="372" operator="lessThan">
      <formula>1</formula>
    </cfRule>
    <cfRule type="cellIs" dxfId="225" priority="373" operator="greaterThan">
      <formula>1</formula>
    </cfRule>
  </conditionalFormatting>
  <conditionalFormatting sqref="H19:H20">
    <cfRule type="cellIs" priority="370" operator="between">
      <formula>1000</formula>
      <formula>-1000</formula>
    </cfRule>
  </conditionalFormatting>
  <conditionalFormatting sqref="H32:H42">
    <cfRule type="cellIs" dxfId="224" priority="367" operator="equal">
      <formula>1</formula>
    </cfRule>
    <cfRule type="cellIs" dxfId="223" priority="368" operator="lessThan">
      <formula>1</formula>
    </cfRule>
    <cfRule type="cellIs" dxfId="222" priority="369" operator="greaterThan">
      <formula>1</formula>
    </cfRule>
  </conditionalFormatting>
  <conditionalFormatting sqref="H32:H42">
    <cfRule type="cellIs" priority="366" operator="between">
      <formula>1000</formula>
      <formula>-1000</formula>
    </cfRule>
  </conditionalFormatting>
  <conditionalFormatting sqref="H49:H55">
    <cfRule type="cellIs" dxfId="221" priority="362" operator="equal">
      <formula>1</formula>
    </cfRule>
    <cfRule type="cellIs" dxfId="220" priority="363" operator="lessThan">
      <formula>1</formula>
    </cfRule>
    <cfRule type="cellIs" dxfId="219" priority="364" operator="greaterThan">
      <formula>1</formula>
    </cfRule>
  </conditionalFormatting>
  <conditionalFormatting sqref="H49:H55">
    <cfRule type="cellIs" priority="361" operator="between">
      <formula>1000</formula>
      <formula>-1000</formula>
    </cfRule>
  </conditionalFormatting>
  <conditionalFormatting sqref="H58:H60">
    <cfRule type="cellIs" dxfId="218" priority="358" operator="equal">
      <formula>1</formula>
    </cfRule>
    <cfRule type="cellIs" dxfId="217" priority="359" operator="lessThan">
      <formula>1</formula>
    </cfRule>
    <cfRule type="cellIs" dxfId="216" priority="360" operator="greaterThan">
      <formula>1</formula>
    </cfRule>
  </conditionalFormatting>
  <conditionalFormatting sqref="H58:H60">
    <cfRule type="cellIs" priority="357" operator="between">
      <formula>1000</formula>
      <formula>-1000</formula>
    </cfRule>
  </conditionalFormatting>
  <conditionalFormatting sqref="H64:H66">
    <cfRule type="cellIs" dxfId="215" priority="353" operator="equal">
      <formula>1</formula>
    </cfRule>
    <cfRule type="cellIs" dxfId="214" priority="354" operator="lessThan">
      <formula>1</formula>
    </cfRule>
    <cfRule type="cellIs" dxfId="213" priority="355" operator="greaterThan">
      <formula>1</formula>
    </cfRule>
  </conditionalFormatting>
  <conditionalFormatting sqref="H64:H66">
    <cfRule type="cellIs" priority="352" operator="between">
      <formula>1000</formula>
      <formula>-1000</formula>
    </cfRule>
  </conditionalFormatting>
  <conditionalFormatting sqref="H69:H71">
    <cfRule type="cellIs" dxfId="212" priority="348" operator="equal">
      <formula>1</formula>
    </cfRule>
    <cfRule type="cellIs" dxfId="211" priority="349" operator="lessThan">
      <formula>1</formula>
    </cfRule>
    <cfRule type="cellIs" dxfId="210" priority="350" operator="greaterThan">
      <formula>1</formula>
    </cfRule>
  </conditionalFormatting>
  <conditionalFormatting sqref="H69:H71">
    <cfRule type="cellIs" priority="347" operator="between">
      <formula>1000</formula>
      <formula>-1000</formula>
    </cfRule>
  </conditionalFormatting>
  <conditionalFormatting sqref="H72:H74">
    <cfRule type="cellIs" dxfId="209" priority="343" operator="equal">
      <formula>1</formula>
    </cfRule>
    <cfRule type="cellIs" dxfId="208" priority="344" operator="lessThan">
      <formula>1</formula>
    </cfRule>
    <cfRule type="cellIs" dxfId="207" priority="345" operator="greaterThan">
      <formula>1</formula>
    </cfRule>
  </conditionalFormatting>
  <conditionalFormatting sqref="H72:H74">
    <cfRule type="cellIs" priority="342" operator="between">
      <formula>1000</formula>
      <formula>-1000</formula>
    </cfRule>
  </conditionalFormatting>
  <conditionalFormatting sqref="H77:H78">
    <cfRule type="cellIs" dxfId="206" priority="338" operator="equal">
      <formula>1</formula>
    </cfRule>
    <cfRule type="cellIs" dxfId="205" priority="339" operator="lessThan">
      <formula>1</formula>
    </cfRule>
    <cfRule type="cellIs" dxfId="204" priority="340" operator="greaterThan">
      <formula>1</formula>
    </cfRule>
  </conditionalFormatting>
  <conditionalFormatting sqref="H77:H78">
    <cfRule type="cellIs" priority="337" operator="between">
      <formula>1000</formula>
      <formula>-1000</formula>
    </cfRule>
  </conditionalFormatting>
  <conditionalFormatting sqref="H81:H82">
    <cfRule type="cellIs" dxfId="203" priority="333" operator="equal">
      <formula>1</formula>
    </cfRule>
    <cfRule type="cellIs" dxfId="202" priority="334" operator="lessThan">
      <formula>1</formula>
    </cfRule>
    <cfRule type="cellIs" dxfId="201" priority="335" operator="greaterThan">
      <formula>1</formula>
    </cfRule>
  </conditionalFormatting>
  <conditionalFormatting sqref="H81:H82">
    <cfRule type="cellIs" priority="332" operator="between">
      <formula>1000</formula>
      <formula>-1000</formula>
    </cfRule>
  </conditionalFormatting>
  <conditionalFormatting sqref="H85:H94">
    <cfRule type="cellIs" dxfId="200" priority="328" operator="equal">
      <formula>1</formula>
    </cfRule>
    <cfRule type="cellIs" dxfId="199" priority="329" operator="lessThan">
      <formula>1</formula>
    </cfRule>
    <cfRule type="cellIs" dxfId="198" priority="330" operator="greaterThan">
      <formula>1</formula>
    </cfRule>
  </conditionalFormatting>
  <conditionalFormatting sqref="H85:H94">
    <cfRule type="cellIs" priority="327" operator="between">
      <formula>1000</formula>
      <formula>-1000</formula>
    </cfRule>
  </conditionalFormatting>
  <conditionalFormatting sqref="H97">
    <cfRule type="cellIs" dxfId="197" priority="323" operator="equal">
      <formula>1</formula>
    </cfRule>
    <cfRule type="cellIs" dxfId="196" priority="324" operator="lessThan">
      <formula>1</formula>
    </cfRule>
    <cfRule type="cellIs" dxfId="195" priority="325" operator="greaterThan">
      <formula>1</formula>
    </cfRule>
  </conditionalFormatting>
  <conditionalFormatting sqref="H97">
    <cfRule type="cellIs" priority="322" operator="between">
      <formula>1000</formula>
      <formula>-1000</formula>
    </cfRule>
  </conditionalFormatting>
  <conditionalFormatting sqref="H98:H100">
    <cfRule type="cellIs" dxfId="194" priority="318" operator="equal">
      <formula>1</formula>
    </cfRule>
    <cfRule type="cellIs" dxfId="193" priority="319" operator="lessThan">
      <formula>1</formula>
    </cfRule>
    <cfRule type="cellIs" dxfId="192" priority="320" operator="greaterThan">
      <formula>1</formula>
    </cfRule>
  </conditionalFormatting>
  <conditionalFormatting sqref="H98:H100">
    <cfRule type="cellIs" priority="317" operator="between">
      <formula>1000</formula>
      <formula>-1000</formula>
    </cfRule>
  </conditionalFormatting>
  <conditionalFormatting sqref="H103">
    <cfRule type="cellIs" dxfId="191" priority="313" operator="equal">
      <formula>1</formula>
    </cfRule>
    <cfRule type="cellIs" dxfId="190" priority="314" operator="lessThan">
      <formula>1</formula>
    </cfRule>
    <cfRule type="cellIs" dxfId="189" priority="315" operator="greaterThan">
      <formula>1</formula>
    </cfRule>
  </conditionalFormatting>
  <conditionalFormatting sqref="H103">
    <cfRule type="cellIs" priority="312" operator="between">
      <formula>1000</formula>
      <formula>-1000</formula>
    </cfRule>
  </conditionalFormatting>
  <conditionalFormatting sqref="H104:H105">
    <cfRule type="cellIs" dxfId="188" priority="308" operator="equal">
      <formula>1</formula>
    </cfRule>
    <cfRule type="cellIs" dxfId="187" priority="309" operator="lessThan">
      <formula>1</formula>
    </cfRule>
    <cfRule type="cellIs" dxfId="186" priority="310" operator="greaterThan">
      <formula>1</formula>
    </cfRule>
  </conditionalFormatting>
  <conditionalFormatting sqref="H104:H105">
    <cfRule type="cellIs" priority="307" operator="between">
      <formula>1000</formula>
      <formula>-1000</formula>
    </cfRule>
  </conditionalFormatting>
  <conditionalFormatting sqref="H109:H116">
    <cfRule type="cellIs" dxfId="185" priority="303" operator="equal">
      <formula>1</formula>
    </cfRule>
    <cfRule type="cellIs" dxfId="184" priority="304" operator="lessThan">
      <formula>1</formula>
    </cfRule>
    <cfRule type="cellIs" dxfId="183" priority="305" operator="greaterThan">
      <formula>1</formula>
    </cfRule>
  </conditionalFormatting>
  <conditionalFormatting sqref="H109:H116">
    <cfRule type="cellIs" priority="302" operator="between">
      <formula>1000</formula>
      <formula>-1000</formula>
    </cfRule>
  </conditionalFormatting>
  <conditionalFormatting sqref="H119:H122">
    <cfRule type="cellIs" dxfId="182" priority="298" operator="equal">
      <formula>1</formula>
    </cfRule>
    <cfRule type="cellIs" dxfId="181" priority="299" operator="lessThan">
      <formula>1</formula>
    </cfRule>
    <cfRule type="cellIs" dxfId="180" priority="300" operator="greaterThan">
      <formula>1</formula>
    </cfRule>
  </conditionalFormatting>
  <conditionalFormatting sqref="H119:H122">
    <cfRule type="cellIs" priority="297" operator="between">
      <formula>1000</formula>
      <formula>-1000</formula>
    </cfRule>
  </conditionalFormatting>
  <conditionalFormatting sqref="H125:H126">
    <cfRule type="cellIs" dxfId="179" priority="293" operator="equal">
      <formula>1</formula>
    </cfRule>
    <cfRule type="cellIs" dxfId="178" priority="294" operator="lessThan">
      <formula>1</formula>
    </cfRule>
    <cfRule type="cellIs" dxfId="177" priority="295" operator="greaterThan">
      <formula>1</formula>
    </cfRule>
  </conditionalFormatting>
  <conditionalFormatting sqref="H125:H126">
    <cfRule type="cellIs" priority="292" operator="between">
      <formula>1000</formula>
      <formula>-1000</formula>
    </cfRule>
  </conditionalFormatting>
  <conditionalFormatting sqref="H127:H128">
    <cfRule type="cellIs" dxfId="176" priority="288" operator="equal">
      <formula>1</formula>
    </cfRule>
    <cfRule type="cellIs" dxfId="175" priority="289" operator="lessThan">
      <formula>1</formula>
    </cfRule>
    <cfRule type="cellIs" dxfId="174" priority="290" operator="greaterThan">
      <formula>1</formula>
    </cfRule>
  </conditionalFormatting>
  <conditionalFormatting sqref="H127:H128">
    <cfRule type="cellIs" priority="287" operator="between">
      <formula>1000</formula>
      <formula>-1000</formula>
    </cfRule>
  </conditionalFormatting>
  <conditionalFormatting sqref="H131">
    <cfRule type="cellIs" dxfId="173" priority="283" operator="equal">
      <formula>1</formula>
    </cfRule>
    <cfRule type="cellIs" dxfId="172" priority="284" operator="lessThan">
      <formula>1</formula>
    </cfRule>
    <cfRule type="cellIs" dxfId="171" priority="285" operator="greaterThan">
      <formula>1</formula>
    </cfRule>
  </conditionalFormatting>
  <conditionalFormatting sqref="H131">
    <cfRule type="cellIs" priority="282" operator="between">
      <formula>1000</formula>
      <formula>-1000</formula>
    </cfRule>
  </conditionalFormatting>
  <conditionalFormatting sqref="H135:H136">
    <cfRule type="cellIs" dxfId="170" priority="278" operator="equal">
      <formula>1</formula>
    </cfRule>
    <cfRule type="cellIs" dxfId="169" priority="279" operator="lessThan">
      <formula>1</formula>
    </cfRule>
    <cfRule type="cellIs" dxfId="168" priority="280" operator="greaterThan">
      <formula>1</formula>
    </cfRule>
  </conditionalFormatting>
  <conditionalFormatting sqref="H135:H136">
    <cfRule type="cellIs" priority="277" operator="between">
      <formula>1000</formula>
      <formula>-1000</formula>
    </cfRule>
  </conditionalFormatting>
  <conditionalFormatting sqref="H137:H138">
    <cfRule type="cellIs" dxfId="167" priority="273" operator="equal">
      <formula>1</formula>
    </cfRule>
    <cfRule type="cellIs" dxfId="166" priority="274" operator="lessThan">
      <formula>1</formula>
    </cfRule>
    <cfRule type="cellIs" dxfId="165" priority="275" operator="greaterThan">
      <formula>1</formula>
    </cfRule>
  </conditionalFormatting>
  <conditionalFormatting sqref="H137:H138">
    <cfRule type="cellIs" priority="272" operator="between">
      <formula>1000</formula>
      <formula>-1000</formula>
    </cfRule>
  </conditionalFormatting>
  <conditionalFormatting sqref="H141:H142 H145:H146">
    <cfRule type="cellIs" dxfId="164" priority="268" operator="equal">
      <formula>1</formula>
    </cfRule>
    <cfRule type="cellIs" dxfId="163" priority="269" operator="lessThan">
      <formula>1</formula>
    </cfRule>
    <cfRule type="cellIs" dxfId="162" priority="270" operator="greaterThan">
      <formula>1</formula>
    </cfRule>
  </conditionalFormatting>
  <conditionalFormatting sqref="H141:H142 H145:H146">
    <cfRule type="cellIs" priority="267" operator="between">
      <formula>1000</formula>
      <formula>-1000</formula>
    </cfRule>
  </conditionalFormatting>
  <conditionalFormatting sqref="H143:H144">
    <cfRule type="cellIs" dxfId="161" priority="263" operator="equal">
      <formula>1</formula>
    </cfRule>
    <cfRule type="cellIs" dxfId="160" priority="264" operator="lessThan">
      <formula>1</formula>
    </cfRule>
    <cfRule type="cellIs" dxfId="159" priority="265" operator="greaterThan">
      <formula>1</formula>
    </cfRule>
  </conditionalFormatting>
  <conditionalFormatting sqref="H143:H144">
    <cfRule type="cellIs" priority="262" operator="between">
      <formula>1000</formula>
      <formula>-1000</formula>
    </cfRule>
  </conditionalFormatting>
  <conditionalFormatting sqref="H147">
    <cfRule type="cellIs" dxfId="158" priority="258" operator="equal">
      <formula>1</formula>
    </cfRule>
    <cfRule type="cellIs" dxfId="157" priority="259" operator="lessThan">
      <formula>1</formula>
    </cfRule>
    <cfRule type="cellIs" dxfId="156" priority="260" operator="greaterThan">
      <formula>1</formula>
    </cfRule>
  </conditionalFormatting>
  <conditionalFormatting sqref="H147">
    <cfRule type="cellIs" priority="257" operator="between">
      <formula>1000</formula>
      <formula>-1000</formula>
    </cfRule>
  </conditionalFormatting>
  <conditionalFormatting sqref="H150">
    <cfRule type="cellIs" dxfId="155" priority="253" operator="equal">
      <formula>1</formula>
    </cfRule>
    <cfRule type="cellIs" dxfId="154" priority="254" operator="lessThan">
      <formula>1</formula>
    </cfRule>
    <cfRule type="cellIs" dxfId="153" priority="255" operator="greaterThan">
      <formula>1</formula>
    </cfRule>
  </conditionalFormatting>
  <conditionalFormatting sqref="H150">
    <cfRule type="cellIs" priority="252" operator="between">
      <formula>1000</formula>
      <formula>-1000</formula>
    </cfRule>
  </conditionalFormatting>
  <conditionalFormatting sqref="H151">
    <cfRule type="cellIs" dxfId="152" priority="248" operator="equal">
      <formula>1</formula>
    </cfRule>
    <cfRule type="cellIs" dxfId="151" priority="249" operator="lessThan">
      <formula>1</formula>
    </cfRule>
    <cfRule type="cellIs" dxfId="150" priority="250" operator="greaterThan">
      <formula>1</formula>
    </cfRule>
  </conditionalFormatting>
  <conditionalFormatting sqref="H151">
    <cfRule type="cellIs" priority="247" operator="between">
      <formula>1000</formula>
      <formula>-1000</formula>
    </cfRule>
  </conditionalFormatting>
  <conditionalFormatting sqref="H156">
    <cfRule type="cellIs" dxfId="149" priority="243" operator="equal">
      <formula>1</formula>
    </cfRule>
    <cfRule type="cellIs" dxfId="148" priority="244" operator="lessThan">
      <formula>1</formula>
    </cfRule>
    <cfRule type="cellIs" dxfId="147" priority="245" operator="greaterThan">
      <formula>1</formula>
    </cfRule>
  </conditionalFormatting>
  <conditionalFormatting sqref="H156">
    <cfRule type="cellIs" priority="242" operator="between">
      <formula>1000</formula>
      <formula>-1000</formula>
    </cfRule>
  </conditionalFormatting>
  <conditionalFormatting sqref="H157">
    <cfRule type="cellIs" dxfId="146" priority="238" operator="equal">
      <formula>1</formula>
    </cfRule>
    <cfRule type="cellIs" dxfId="145" priority="239" operator="lessThan">
      <formula>1</formula>
    </cfRule>
    <cfRule type="cellIs" dxfId="144" priority="240" operator="greaterThan">
      <formula>1</formula>
    </cfRule>
  </conditionalFormatting>
  <conditionalFormatting sqref="H157">
    <cfRule type="cellIs" priority="237" operator="between">
      <formula>1000</formula>
      <formula>-1000</formula>
    </cfRule>
  </conditionalFormatting>
  <conditionalFormatting sqref="H158">
    <cfRule type="cellIs" dxfId="143" priority="233" operator="equal">
      <formula>1</formula>
    </cfRule>
    <cfRule type="cellIs" dxfId="142" priority="234" operator="lessThan">
      <formula>1</formula>
    </cfRule>
    <cfRule type="cellIs" dxfId="141" priority="235" operator="greaterThan">
      <formula>1</formula>
    </cfRule>
  </conditionalFormatting>
  <conditionalFormatting sqref="H158">
    <cfRule type="cellIs" priority="232" operator="between">
      <formula>1000</formula>
      <formula>-1000</formula>
    </cfRule>
  </conditionalFormatting>
  <conditionalFormatting sqref="H159">
    <cfRule type="cellIs" dxfId="140" priority="228" operator="equal">
      <formula>1</formula>
    </cfRule>
    <cfRule type="cellIs" dxfId="139" priority="229" operator="lessThan">
      <formula>1</formula>
    </cfRule>
    <cfRule type="cellIs" dxfId="138" priority="230" operator="greaterThan">
      <formula>1</formula>
    </cfRule>
  </conditionalFormatting>
  <conditionalFormatting sqref="H159">
    <cfRule type="cellIs" priority="227" operator="between">
      <formula>1000</formula>
      <formula>-1000</formula>
    </cfRule>
  </conditionalFormatting>
  <conditionalFormatting sqref="H162">
    <cfRule type="cellIs" dxfId="137" priority="223" operator="equal">
      <formula>1</formula>
    </cfRule>
    <cfRule type="cellIs" dxfId="136" priority="224" operator="lessThan">
      <formula>1</formula>
    </cfRule>
    <cfRule type="cellIs" dxfId="135" priority="225" operator="greaterThan">
      <formula>1</formula>
    </cfRule>
  </conditionalFormatting>
  <conditionalFormatting sqref="H162">
    <cfRule type="cellIs" priority="222" operator="between">
      <formula>1000</formula>
      <formula>-1000</formula>
    </cfRule>
  </conditionalFormatting>
  <conditionalFormatting sqref="H163">
    <cfRule type="cellIs" dxfId="134" priority="218" operator="equal">
      <formula>1</formula>
    </cfRule>
    <cfRule type="cellIs" dxfId="133" priority="219" operator="lessThan">
      <formula>1</formula>
    </cfRule>
    <cfRule type="cellIs" dxfId="132" priority="220" operator="greaterThan">
      <formula>1</formula>
    </cfRule>
  </conditionalFormatting>
  <conditionalFormatting sqref="H163">
    <cfRule type="cellIs" priority="217" operator="between">
      <formula>1000</formula>
      <formula>-1000</formula>
    </cfRule>
  </conditionalFormatting>
  <conditionalFormatting sqref="H164">
    <cfRule type="cellIs" dxfId="131" priority="213" operator="equal">
      <formula>1</formula>
    </cfRule>
    <cfRule type="cellIs" dxfId="130" priority="214" operator="lessThan">
      <formula>1</formula>
    </cfRule>
    <cfRule type="cellIs" dxfId="129" priority="215" operator="greaterThan">
      <formula>1</formula>
    </cfRule>
  </conditionalFormatting>
  <conditionalFormatting sqref="H164">
    <cfRule type="cellIs" priority="212" operator="between">
      <formula>1000</formula>
      <formula>-1000</formula>
    </cfRule>
  </conditionalFormatting>
  <conditionalFormatting sqref="H165">
    <cfRule type="cellIs" dxfId="128" priority="208" operator="equal">
      <formula>1</formula>
    </cfRule>
    <cfRule type="cellIs" dxfId="127" priority="209" operator="lessThan">
      <formula>1</formula>
    </cfRule>
    <cfRule type="cellIs" dxfId="126" priority="210" operator="greaterThan">
      <formula>1</formula>
    </cfRule>
  </conditionalFormatting>
  <conditionalFormatting sqref="H165">
    <cfRule type="cellIs" priority="207" operator="between">
      <formula>1000</formula>
      <formula>-1000</formula>
    </cfRule>
  </conditionalFormatting>
  <conditionalFormatting sqref="H166">
    <cfRule type="cellIs" dxfId="125" priority="203" operator="equal">
      <formula>1</formula>
    </cfRule>
    <cfRule type="cellIs" dxfId="124" priority="204" operator="lessThan">
      <formula>1</formula>
    </cfRule>
    <cfRule type="cellIs" dxfId="123" priority="205" operator="greaterThan">
      <formula>1</formula>
    </cfRule>
  </conditionalFormatting>
  <conditionalFormatting sqref="H166">
    <cfRule type="cellIs" priority="202" operator="between">
      <formula>1000</formula>
      <formula>-1000</formula>
    </cfRule>
  </conditionalFormatting>
  <conditionalFormatting sqref="H167">
    <cfRule type="cellIs" dxfId="122" priority="198" operator="equal">
      <formula>1</formula>
    </cfRule>
    <cfRule type="cellIs" dxfId="121" priority="199" operator="lessThan">
      <formula>1</formula>
    </cfRule>
    <cfRule type="cellIs" dxfId="120" priority="200" operator="greaterThan">
      <formula>1</formula>
    </cfRule>
  </conditionalFormatting>
  <conditionalFormatting sqref="H167">
    <cfRule type="cellIs" priority="197" operator="between">
      <formula>1000</formula>
      <formula>-1000</formula>
    </cfRule>
  </conditionalFormatting>
  <conditionalFormatting sqref="H168">
    <cfRule type="cellIs" dxfId="119" priority="193" operator="equal">
      <formula>1</formula>
    </cfRule>
    <cfRule type="cellIs" dxfId="118" priority="194" operator="lessThan">
      <formula>1</formula>
    </cfRule>
    <cfRule type="cellIs" dxfId="117" priority="195" operator="greaterThan">
      <formula>1</formula>
    </cfRule>
  </conditionalFormatting>
  <conditionalFormatting sqref="H168">
    <cfRule type="cellIs" priority="192" operator="between">
      <formula>1000</formula>
      <formula>-1000</formula>
    </cfRule>
  </conditionalFormatting>
  <conditionalFormatting sqref="H169">
    <cfRule type="cellIs" dxfId="116" priority="188" operator="equal">
      <formula>1</formula>
    </cfRule>
    <cfRule type="cellIs" dxfId="115" priority="189" operator="lessThan">
      <formula>1</formula>
    </cfRule>
    <cfRule type="cellIs" dxfId="114" priority="190" operator="greaterThan">
      <formula>1</formula>
    </cfRule>
  </conditionalFormatting>
  <conditionalFormatting sqref="H169">
    <cfRule type="cellIs" priority="187" operator="between">
      <formula>1000</formula>
      <formula>-1000</formula>
    </cfRule>
  </conditionalFormatting>
  <conditionalFormatting sqref="H170">
    <cfRule type="cellIs" dxfId="113" priority="183" operator="equal">
      <formula>1</formula>
    </cfRule>
    <cfRule type="cellIs" dxfId="112" priority="184" operator="lessThan">
      <formula>1</formula>
    </cfRule>
    <cfRule type="cellIs" dxfId="111" priority="185" operator="greaterThan">
      <formula>1</formula>
    </cfRule>
  </conditionalFormatting>
  <conditionalFormatting sqref="H170">
    <cfRule type="cellIs" priority="182" operator="between">
      <formula>1000</formula>
      <formula>-1000</formula>
    </cfRule>
  </conditionalFormatting>
  <conditionalFormatting sqref="H171">
    <cfRule type="cellIs" dxfId="110" priority="178" operator="equal">
      <formula>1</formula>
    </cfRule>
    <cfRule type="cellIs" dxfId="109" priority="179" operator="lessThan">
      <formula>1</formula>
    </cfRule>
    <cfRule type="cellIs" dxfId="108" priority="180" operator="greaterThan">
      <formula>1</formula>
    </cfRule>
  </conditionalFormatting>
  <conditionalFormatting sqref="H171">
    <cfRule type="cellIs" priority="177" operator="between">
      <formula>1000</formula>
      <formula>-1000</formula>
    </cfRule>
  </conditionalFormatting>
  <conditionalFormatting sqref="H177">
    <cfRule type="cellIs" dxfId="107" priority="173" operator="equal">
      <formula>1</formula>
    </cfRule>
    <cfRule type="cellIs" dxfId="106" priority="174" operator="lessThan">
      <formula>1</formula>
    </cfRule>
    <cfRule type="cellIs" dxfId="105" priority="175" operator="greaterThan">
      <formula>1</formula>
    </cfRule>
  </conditionalFormatting>
  <conditionalFormatting sqref="H177">
    <cfRule type="cellIs" priority="172" operator="between">
      <formula>1000</formula>
      <formula>-1000</formula>
    </cfRule>
  </conditionalFormatting>
  <conditionalFormatting sqref="H178">
    <cfRule type="cellIs" dxfId="104" priority="168" operator="equal">
      <formula>1</formula>
    </cfRule>
    <cfRule type="cellIs" dxfId="103" priority="169" operator="lessThan">
      <formula>1</formula>
    </cfRule>
    <cfRule type="cellIs" dxfId="102" priority="170" operator="greaterThan">
      <formula>1</formula>
    </cfRule>
  </conditionalFormatting>
  <conditionalFormatting sqref="H178">
    <cfRule type="cellIs" priority="167" operator="between">
      <formula>1000</formula>
      <formula>-1000</formula>
    </cfRule>
  </conditionalFormatting>
  <conditionalFormatting sqref="K10:K14">
    <cfRule type="cellIs" dxfId="101" priority="163" operator="equal">
      <formula>1</formula>
    </cfRule>
    <cfRule type="cellIs" dxfId="100" priority="164" operator="lessThan">
      <formula>1</formula>
    </cfRule>
    <cfRule type="cellIs" dxfId="99" priority="165" operator="greaterThan">
      <formula>1</formula>
    </cfRule>
  </conditionalFormatting>
  <conditionalFormatting sqref="K10:K14">
    <cfRule type="cellIs" priority="162" operator="between">
      <formula>1000</formula>
      <formula>-1000</formula>
    </cfRule>
  </conditionalFormatting>
  <conditionalFormatting sqref="K32:K42">
    <cfRule type="cellIs" dxfId="98" priority="159" operator="equal">
      <formula>1</formula>
    </cfRule>
    <cfRule type="cellIs" dxfId="97" priority="160" operator="lessThan">
      <formula>1</formula>
    </cfRule>
    <cfRule type="cellIs" dxfId="96" priority="161" operator="greaterThan">
      <formula>1</formula>
    </cfRule>
  </conditionalFormatting>
  <conditionalFormatting sqref="K32:K42">
    <cfRule type="cellIs" priority="158" operator="between">
      <formula>1000</formula>
      <formula>-1000</formula>
    </cfRule>
  </conditionalFormatting>
  <conditionalFormatting sqref="K110:K116">
    <cfRule type="cellIs" dxfId="95" priority="154" operator="equal">
      <formula>1</formula>
    </cfRule>
    <cfRule type="cellIs" dxfId="94" priority="155" operator="lessThan">
      <formula>1</formula>
    </cfRule>
    <cfRule type="cellIs" dxfId="93" priority="156" operator="greaterThan">
      <formula>1</formula>
    </cfRule>
  </conditionalFormatting>
  <conditionalFormatting sqref="K110:K116">
    <cfRule type="cellIs" priority="153" operator="between">
      <formula>1000</formula>
      <formula>-1000</formula>
    </cfRule>
  </conditionalFormatting>
  <conditionalFormatting sqref="K162:K171">
    <cfRule type="cellIs" dxfId="92" priority="62" operator="equal">
      <formula>1</formula>
    </cfRule>
    <cfRule type="cellIs" dxfId="91" priority="63" operator="lessThan">
      <formula>1</formula>
    </cfRule>
    <cfRule type="cellIs" dxfId="90" priority="64" operator="greaterThan">
      <formula>1</formula>
    </cfRule>
  </conditionalFormatting>
  <conditionalFormatting sqref="K162:K171">
    <cfRule type="cellIs" priority="61" operator="between">
      <formula>1000</formula>
      <formula>-1000</formula>
    </cfRule>
  </conditionalFormatting>
  <conditionalFormatting sqref="K181 K183">
    <cfRule type="cellIs" priority="51" operator="between">
      <formula>1000</formula>
      <formula>-1000</formula>
    </cfRule>
  </conditionalFormatting>
  <conditionalFormatting sqref="K17:K21">
    <cfRule type="cellIs" dxfId="89" priority="150" operator="equal">
      <formula>1</formula>
    </cfRule>
    <cfRule type="cellIs" dxfId="88" priority="151" operator="lessThan">
      <formula>1</formula>
    </cfRule>
    <cfRule type="cellIs" dxfId="87" priority="152" operator="greaterThan">
      <formula>1</formula>
    </cfRule>
  </conditionalFormatting>
  <conditionalFormatting sqref="K17:K21">
    <cfRule type="cellIs" priority="149" operator="between">
      <formula>1000</formula>
      <formula>-1000</formula>
    </cfRule>
  </conditionalFormatting>
  <conditionalFormatting sqref="K25:K28">
    <cfRule type="cellIs" dxfId="86" priority="145" operator="equal">
      <formula>1</formula>
    </cfRule>
    <cfRule type="cellIs" dxfId="85" priority="146" operator="lessThan">
      <formula>1</formula>
    </cfRule>
    <cfRule type="cellIs" dxfId="84" priority="147" operator="greaterThan">
      <formula>1</formula>
    </cfRule>
  </conditionalFormatting>
  <conditionalFormatting sqref="K25:K28">
    <cfRule type="cellIs" priority="144" operator="between">
      <formula>1000</formula>
      <formula>-1000</formula>
    </cfRule>
  </conditionalFormatting>
  <conditionalFormatting sqref="K58:K60">
    <cfRule type="cellIs" dxfId="83" priority="141" operator="equal">
      <formula>1</formula>
    </cfRule>
    <cfRule type="cellIs" dxfId="82" priority="142" operator="lessThan">
      <formula>1</formula>
    </cfRule>
    <cfRule type="cellIs" dxfId="81" priority="143" operator="greaterThan">
      <formula>1</formula>
    </cfRule>
  </conditionalFormatting>
  <conditionalFormatting sqref="K58:K60">
    <cfRule type="cellIs" priority="140" operator="between">
      <formula>1000</formula>
      <formula>-1000</formula>
    </cfRule>
  </conditionalFormatting>
  <conditionalFormatting sqref="K64:K66">
    <cfRule type="cellIs" dxfId="80" priority="136" operator="equal">
      <formula>1</formula>
    </cfRule>
    <cfRule type="cellIs" dxfId="79" priority="137" operator="lessThan">
      <formula>1</formula>
    </cfRule>
    <cfRule type="cellIs" dxfId="78" priority="138" operator="greaterThan">
      <formula>1</formula>
    </cfRule>
  </conditionalFormatting>
  <conditionalFormatting sqref="K64:K66">
    <cfRule type="cellIs" priority="135" operator="between">
      <formula>1000</formula>
      <formula>-1000</formula>
    </cfRule>
  </conditionalFormatting>
  <conditionalFormatting sqref="K69:K74">
    <cfRule type="cellIs" dxfId="77" priority="131" operator="equal">
      <formula>1</formula>
    </cfRule>
    <cfRule type="cellIs" dxfId="76" priority="132" operator="lessThan">
      <formula>1</formula>
    </cfRule>
    <cfRule type="cellIs" dxfId="75" priority="133" operator="greaterThan">
      <formula>1</formula>
    </cfRule>
  </conditionalFormatting>
  <conditionalFormatting sqref="K69:K74">
    <cfRule type="cellIs" priority="130" operator="between">
      <formula>1000</formula>
      <formula>-1000</formula>
    </cfRule>
  </conditionalFormatting>
  <conditionalFormatting sqref="K77:K78">
    <cfRule type="cellIs" dxfId="74" priority="126" operator="equal">
      <formula>1</formula>
    </cfRule>
    <cfRule type="cellIs" dxfId="73" priority="127" operator="lessThan">
      <formula>1</formula>
    </cfRule>
    <cfRule type="cellIs" dxfId="72" priority="128" operator="greaterThan">
      <formula>1</formula>
    </cfRule>
  </conditionalFormatting>
  <conditionalFormatting sqref="K77:K78">
    <cfRule type="cellIs" priority="125" operator="between">
      <formula>1000</formula>
      <formula>-1000</formula>
    </cfRule>
  </conditionalFormatting>
  <conditionalFormatting sqref="K81:K82">
    <cfRule type="cellIs" dxfId="71" priority="121" operator="equal">
      <formula>1</formula>
    </cfRule>
    <cfRule type="cellIs" dxfId="70" priority="122" operator="lessThan">
      <formula>1</formula>
    </cfRule>
    <cfRule type="cellIs" dxfId="69" priority="123" operator="greaterThan">
      <formula>1</formula>
    </cfRule>
  </conditionalFormatting>
  <conditionalFormatting sqref="K81:K82">
    <cfRule type="cellIs" priority="120" operator="between">
      <formula>1000</formula>
      <formula>-1000</formula>
    </cfRule>
  </conditionalFormatting>
  <conditionalFormatting sqref="K85:K94">
    <cfRule type="cellIs" dxfId="68" priority="116" operator="equal">
      <formula>1</formula>
    </cfRule>
    <cfRule type="cellIs" dxfId="67" priority="117" operator="lessThan">
      <formula>1</formula>
    </cfRule>
    <cfRule type="cellIs" dxfId="66" priority="118" operator="greaterThan">
      <formula>1</formula>
    </cfRule>
  </conditionalFormatting>
  <conditionalFormatting sqref="K85:K94">
    <cfRule type="cellIs" priority="115" operator="between">
      <formula>1000</formula>
      <formula>-1000</formula>
    </cfRule>
  </conditionalFormatting>
  <conditionalFormatting sqref="K97:K100">
    <cfRule type="cellIs" dxfId="65" priority="111" operator="equal">
      <formula>1</formula>
    </cfRule>
    <cfRule type="cellIs" dxfId="64" priority="112" operator="lessThan">
      <formula>1</formula>
    </cfRule>
    <cfRule type="cellIs" dxfId="63" priority="113" operator="greaterThan">
      <formula>1</formula>
    </cfRule>
  </conditionalFormatting>
  <conditionalFormatting sqref="K97:K100">
    <cfRule type="cellIs" priority="110" operator="between">
      <formula>1000</formula>
      <formula>-1000</formula>
    </cfRule>
  </conditionalFormatting>
  <conditionalFormatting sqref="K103:K106">
    <cfRule type="cellIs" dxfId="62" priority="106" operator="equal">
      <formula>1</formula>
    </cfRule>
    <cfRule type="cellIs" dxfId="61" priority="107" operator="lessThan">
      <formula>1</formula>
    </cfRule>
    <cfRule type="cellIs" dxfId="60" priority="108" operator="greaterThan">
      <formula>1</formula>
    </cfRule>
  </conditionalFormatting>
  <conditionalFormatting sqref="K103:K106">
    <cfRule type="cellIs" priority="105" operator="between">
      <formula>1000</formula>
      <formula>-1000</formula>
    </cfRule>
  </conditionalFormatting>
  <conditionalFormatting sqref="K109">
    <cfRule type="cellIs" dxfId="59" priority="101" operator="equal">
      <formula>1</formula>
    </cfRule>
    <cfRule type="cellIs" dxfId="58" priority="102" operator="lessThan">
      <formula>1</formula>
    </cfRule>
    <cfRule type="cellIs" dxfId="57" priority="103" operator="greaterThan">
      <formula>1</formula>
    </cfRule>
  </conditionalFormatting>
  <conditionalFormatting sqref="K109">
    <cfRule type="cellIs" priority="100" operator="between">
      <formula>1000</formula>
      <formula>-1000</formula>
    </cfRule>
  </conditionalFormatting>
  <conditionalFormatting sqref="K119:K122">
    <cfRule type="cellIs" dxfId="56" priority="96" operator="equal">
      <formula>1</formula>
    </cfRule>
    <cfRule type="cellIs" dxfId="55" priority="97" operator="lessThan">
      <formula>1</formula>
    </cfRule>
    <cfRule type="cellIs" dxfId="54" priority="98" operator="greaterThan">
      <formula>1</formula>
    </cfRule>
  </conditionalFormatting>
  <conditionalFormatting sqref="K119:K122">
    <cfRule type="cellIs" priority="95" operator="between">
      <formula>1000</formula>
      <formula>-1000</formula>
    </cfRule>
  </conditionalFormatting>
  <conditionalFormatting sqref="K125:K128">
    <cfRule type="cellIs" dxfId="53" priority="91" operator="equal">
      <formula>1</formula>
    </cfRule>
    <cfRule type="cellIs" dxfId="52" priority="92" operator="lessThan">
      <formula>1</formula>
    </cfRule>
    <cfRule type="cellIs" dxfId="51" priority="93" operator="greaterThan">
      <formula>1</formula>
    </cfRule>
  </conditionalFormatting>
  <conditionalFormatting sqref="K125:K128">
    <cfRule type="cellIs" priority="90" operator="between">
      <formula>1000</formula>
      <formula>-1000</formula>
    </cfRule>
  </conditionalFormatting>
  <conditionalFormatting sqref="K131">
    <cfRule type="cellIs" dxfId="50" priority="86" operator="equal">
      <formula>1</formula>
    </cfRule>
    <cfRule type="cellIs" dxfId="49" priority="87" operator="lessThan">
      <formula>1</formula>
    </cfRule>
    <cfRule type="cellIs" dxfId="48" priority="88" operator="greaterThan">
      <formula>1</formula>
    </cfRule>
  </conditionalFormatting>
  <conditionalFormatting sqref="K131">
    <cfRule type="cellIs" priority="85" operator="between">
      <formula>1000</formula>
      <formula>-1000</formula>
    </cfRule>
  </conditionalFormatting>
  <conditionalFormatting sqref="K135:K138">
    <cfRule type="cellIs" dxfId="47" priority="81" operator="equal">
      <formula>1</formula>
    </cfRule>
    <cfRule type="cellIs" dxfId="46" priority="82" operator="lessThan">
      <formula>1</formula>
    </cfRule>
    <cfRule type="cellIs" dxfId="45" priority="83" operator="greaterThan">
      <formula>1</formula>
    </cfRule>
  </conditionalFormatting>
  <conditionalFormatting sqref="K135:K138">
    <cfRule type="cellIs" priority="80" operator="between">
      <formula>1000</formula>
      <formula>-1000</formula>
    </cfRule>
  </conditionalFormatting>
  <conditionalFormatting sqref="K141:K147">
    <cfRule type="cellIs" dxfId="44" priority="76" operator="equal">
      <formula>1</formula>
    </cfRule>
    <cfRule type="cellIs" dxfId="43" priority="77" operator="lessThan">
      <formula>1</formula>
    </cfRule>
    <cfRule type="cellIs" dxfId="42" priority="78" operator="greaterThan">
      <formula>1</formula>
    </cfRule>
  </conditionalFormatting>
  <conditionalFormatting sqref="K141:K147">
    <cfRule type="cellIs" priority="75" operator="between">
      <formula>1000</formula>
      <formula>-1000</formula>
    </cfRule>
  </conditionalFormatting>
  <conditionalFormatting sqref="K150:K151">
    <cfRule type="cellIs" dxfId="41" priority="71" operator="equal">
      <formula>1</formula>
    </cfRule>
    <cfRule type="cellIs" dxfId="40" priority="72" operator="lessThan">
      <formula>1</formula>
    </cfRule>
    <cfRule type="cellIs" dxfId="39" priority="73" operator="greaterThan">
      <formula>1</formula>
    </cfRule>
  </conditionalFormatting>
  <conditionalFormatting sqref="K150:K151">
    <cfRule type="cellIs" priority="70" operator="between">
      <formula>1000</formula>
      <formula>-1000</formula>
    </cfRule>
  </conditionalFormatting>
  <conditionalFormatting sqref="K156:K159">
    <cfRule type="cellIs" dxfId="38" priority="66" operator="equal">
      <formula>1</formula>
    </cfRule>
    <cfRule type="cellIs" dxfId="37" priority="67" operator="lessThan">
      <formula>1</formula>
    </cfRule>
    <cfRule type="cellIs" dxfId="36" priority="68" operator="greaterThan">
      <formula>1</formula>
    </cfRule>
  </conditionalFormatting>
  <conditionalFormatting sqref="K156:K159">
    <cfRule type="cellIs" priority="65" operator="between">
      <formula>1000</formula>
      <formula>-1000</formula>
    </cfRule>
  </conditionalFormatting>
  <conditionalFormatting sqref="K177:K178">
    <cfRule type="cellIs" dxfId="35" priority="57" operator="equal">
      <formula>1</formula>
    </cfRule>
    <cfRule type="cellIs" dxfId="34" priority="58" operator="lessThan">
      <formula>1</formula>
    </cfRule>
    <cfRule type="cellIs" dxfId="33" priority="59" operator="greaterThan">
      <formula>1</formula>
    </cfRule>
  </conditionalFormatting>
  <conditionalFormatting sqref="K177:K178">
    <cfRule type="cellIs" priority="56" operator="between">
      <formula>1000</formula>
      <formula>-1000</formula>
    </cfRule>
  </conditionalFormatting>
  <conditionalFormatting sqref="K181 K183">
    <cfRule type="cellIs" dxfId="32" priority="52" operator="equal">
      <formula>1</formula>
    </cfRule>
    <cfRule type="cellIs" dxfId="31" priority="53" operator="lessThan">
      <formula>1</formula>
    </cfRule>
    <cfRule type="cellIs" dxfId="30" priority="54" operator="greaterThan">
      <formula>1</formula>
    </cfRule>
  </conditionalFormatting>
  <conditionalFormatting sqref="H152">
    <cfRule type="cellIs" dxfId="29" priority="47" operator="equal">
      <formula>1</formula>
    </cfRule>
    <cfRule type="cellIs" dxfId="28" priority="48" operator="lessThan">
      <formula>1</formula>
    </cfRule>
    <cfRule type="cellIs" dxfId="27" priority="49" operator="greaterThan">
      <formula>1</formula>
    </cfRule>
  </conditionalFormatting>
  <conditionalFormatting sqref="H152">
    <cfRule type="cellIs" priority="46" operator="between">
      <formula>1000</formula>
      <formula>-1000</formula>
    </cfRule>
  </conditionalFormatting>
  <conditionalFormatting sqref="K152">
    <cfRule type="cellIs" dxfId="26" priority="42" operator="equal">
      <formula>1</formula>
    </cfRule>
    <cfRule type="cellIs" dxfId="25" priority="43" operator="lessThan">
      <formula>1</formula>
    </cfRule>
    <cfRule type="cellIs" dxfId="24" priority="44" operator="greaterThan">
      <formula>1</formula>
    </cfRule>
  </conditionalFormatting>
  <conditionalFormatting sqref="K152">
    <cfRule type="cellIs" priority="41" operator="between">
      <formula>1000</formula>
      <formula>-1000</formula>
    </cfRule>
  </conditionalFormatting>
  <conditionalFormatting sqref="K174">
    <cfRule type="cellIs" dxfId="23" priority="37" operator="equal">
      <formula>1</formula>
    </cfRule>
    <cfRule type="cellIs" dxfId="22" priority="38" operator="lessThan">
      <formula>1</formula>
    </cfRule>
    <cfRule type="cellIs" dxfId="21" priority="39" operator="greaterThan">
      <formula>1</formula>
    </cfRule>
  </conditionalFormatting>
  <conditionalFormatting sqref="K174">
    <cfRule type="cellIs" priority="36" operator="between">
      <formula>1000</formula>
      <formula>-1000</formula>
    </cfRule>
  </conditionalFormatting>
  <conditionalFormatting sqref="H174">
    <cfRule type="cellIs" dxfId="20" priority="32" operator="equal">
      <formula>1</formula>
    </cfRule>
    <cfRule type="cellIs" dxfId="19" priority="33" operator="lessThan">
      <formula>1</formula>
    </cfRule>
    <cfRule type="cellIs" dxfId="18" priority="34" operator="greaterThan">
      <formula>1</formula>
    </cfRule>
  </conditionalFormatting>
  <conditionalFormatting sqref="H174">
    <cfRule type="cellIs" priority="31" operator="between">
      <formula>1000</formula>
      <formula>-1000</formula>
    </cfRule>
  </conditionalFormatting>
  <conditionalFormatting sqref="H106">
    <cfRule type="cellIs" dxfId="17" priority="27" operator="equal">
      <formula>1</formula>
    </cfRule>
    <cfRule type="cellIs" dxfId="16" priority="28" operator="lessThan">
      <formula>1</formula>
    </cfRule>
    <cfRule type="cellIs" dxfId="15" priority="29" operator="greaterThan">
      <formula>1</formula>
    </cfRule>
  </conditionalFormatting>
  <conditionalFormatting sqref="H106">
    <cfRule type="cellIs" priority="26" operator="between">
      <formula>1000</formula>
      <formula>-1000</formula>
    </cfRule>
  </conditionalFormatting>
  <conditionalFormatting sqref="H181">
    <cfRule type="cellIs" dxfId="14" priority="22" operator="equal">
      <formula>1</formula>
    </cfRule>
    <cfRule type="cellIs" dxfId="13" priority="23" operator="lessThan">
      <formula>1</formula>
    </cfRule>
    <cfRule type="cellIs" dxfId="12" priority="24" operator="greaterThan">
      <formula>1</formula>
    </cfRule>
  </conditionalFormatting>
  <conditionalFormatting sqref="H181">
    <cfRule type="cellIs" priority="21" operator="between">
      <formula>1000</formula>
      <formula>-1000</formula>
    </cfRule>
  </conditionalFormatting>
  <conditionalFormatting sqref="K46">
    <cfRule type="cellIs" dxfId="11" priority="17" operator="equal">
      <formula>1</formula>
    </cfRule>
    <cfRule type="cellIs" dxfId="10" priority="18" operator="lessThan">
      <formula>1</formula>
    </cfRule>
    <cfRule type="cellIs" dxfId="9" priority="19" operator="greaterThan">
      <formula>1</formula>
    </cfRule>
  </conditionalFormatting>
  <conditionalFormatting sqref="K46">
    <cfRule type="cellIs" priority="16" operator="between">
      <formula>1000</formula>
      <formula>-1000</formula>
    </cfRule>
  </conditionalFormatting>
  <conditionalFormatting sqref="H46">
    <cfRule type="cellIs" dxfId="8" priority="12" operator="equal">
      <formula>1</formula>
    </cfRule>
    <cfRule type="cellIs" dxfId="7" priority="13" operator="lessThan">
      <formula>1</formula>
    </cfRule>
    <cfRule type="cellIs" dxfId="6" priority="14" operator="greaterThan">
      <formula>1</formula>
    </cfRule>
  </conditionalFormatting>
  <conditionalFormatting sqref="H46">
    <cfRule type="cellIs" priority="11" operator="between">
      <formula>1000</formula>
      <formula>-1000</formula>
    </cfRule>
  </conditionalFormatting>
  <conditionalFormatting sqref="H21">
    <cfRule type="cellIs" dxfId="5" priority="7" operator="equal">
      <formula>1</formula>
    </cfRule>
    <cfRule type="cellIs" dxfId="4" priority="8" operator="lessThan">
      <formula>1</formula>
    </cfRule>
    <cfRule type="cellIs" dxfId="3" priority="9" operator="greaterThan">
      <formula>1</formula>
    </cfRule>
  </conditionalFormatting>
  <conditionalFormatting sqref="H21">
    <cfRule type="cellIs" priority="6" operator="between">
      <formula>1000</formula>
      <formula>-1000</formula>
    </cfRule>
  </conditionalFormatting>
  <conditionalFormatting sqref="H183">
    <cfRule type="cellIs" priority="1" operator="between">
      <formula>1000</formula>
      <formula>-1000</formula>
    </cfRule>
  </conditionalFormatting>
  <conditionalFormatting sqref="H183">
    <cfRule type="cellIs" dxfId="2" priority="2" operator="equal">
      <formula>1</formula>
    </cfRule>
    <cfRule type="cellIs" dxfId="1" priority="3" operator="lessThan">
      <formula>1</formula>
    </cfRule>
    <cfRule type="cellIs" dxfId="0" priority="4" operator="greaterThan">
      <formula>1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7" fitToHeight="10" orientation="landscape" horizontalDpi="4294967293" verticalDpi="4294967293" r:id="rId1"/>
  <rowBreaks count="2" manualBreakCount="2">
    <brk id="66" max="11" man="1"/>
    <brk id="128" max="11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93" id="{811B7A06-50DD-4FA2-92A2-CC59EF5D6232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H10:H14</xm:sqref>
        </x14:conditionalFormatting>
        <x14:conditionalFormatting xmlns:xm="http://schemas.microsoft.com/office/excel/2006/main">
          <x14:cfRule type="iconSet" priority="388" id="{46E997BE-EA58-45F9-AD9F-B88E32E060F4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H25:H26</xm:sqref>
        </x14:conditionalFormatting>
        <x14:conditionalFormatting xmlns:xm="http://schemas.microsoft.com/office/excel/2006/main">
          <x14:cfRule type="iconSet" priority="383" id="{A459CACE-D97D-4D91-A67D-91CD510CAA4C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H27:H28</xm:sqref>
        </x14:conditionalFormatting>
        <x14:conditionalFormatting xmlns:xm="http://schemas.microsoft.com/office/excel/2006/main">
          <x14:cfRule type="iconSet" priority="378" id="{632C4DD1-9F87-4715-B3DF-6CFA9901DBFC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H17:H18</xm:sqref>
        </x14:conditionalFormatting>
        <x14:conditionalFormatting xmlns:xm="http://schemas.microsoft.com/office/excel/2006/main">
          <x14:cfRule type="iconSet" priority="365" id="{800754E5-5AC5-48C0-963E-452A9ACD8123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H49:H55</xm:sqref>
        </x14:conditionalFormatting>
        <x14:conditionalFormatting xmlns:xm="http://schemas.microsoft.com/office/excel/2006/main">
          <x14:cfRule type="iconSet" priority="356" id="{77C6FBBA-6CB1-4E45-B59B-1F9A66E290E2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H64:H66</xm:sqref>
        </x14:conditionalFormatting>
        <x14:conditionalFormatting xmlns:xm="http://schemas.microsoft.com/office/excel/2006/main">
          <x14:cfRule type="iconSet" priority="351" id="{212977C2-66C1-412B-A65D-BD42C03A95E7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H69:H71</xm:sqref>
        </x14:conditionalFormatting>
        <x14:conditionalFormatting xmlns:xm="http://schemas.microsoft.com/office/excel/2006/main">
          <x14:cfRule type="iconSet" priority="346" id="{298610F8-470A-4907-8C49-53DEF29034C3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H72:H74</xm:sqref>
        </x14:conditionalFormatting>
        <x14:conditionalFormatting xmlns:xm="http://schemas.microsoft.com/office/excel/2006/main">
          <x14:cfRule type="iconSet" priority="341" id="{D6AF80E2-5AAE-4FED-9019-291F137DE383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H77:H78</xm:sqref>
        </x14:conditionalFormatting>
        <x14:conditionalFormatting xmlns:xm="http://schemas.microsoft.com/office/excel/2006/main">
          <x14:cfRule type="iconSet" priority="336" id="{74BF0A4D-664B-472E-807F-3E57B0574C88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H81:H82</xm:sqref>
        </x14:conditionalFormatting>
        <x14:conditionalFormatting xmlns:xm="http://schemas.microsoft.com/office/excel/2006/main">
          <x14:cfRule type="iconSet" priority="331" id="{4CEFAC76-0C3C-46BF-8846-40B7739DD0CD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H85:H94</xm:sqref>
        </x14:conditionalFormatting>
        <x14:conditionalFormatting xmlns:xm="http://schemas.microsoft.com/office/excel/2006/main">
          <x14:cfRule type="iconSet" priority="326" id="{028119FC-BA20-47EA-8C23-361FE98B6870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H97</xm:sqref>
        </x14:conditionalFormatting>
        <x14:conditionalFormatting xmlns:xm="http://schemas.microsoft.com/office/excel/2006/main">
          <x14:cfRule type="iconSet" priority="321" id="{F67BA94D-E357-44EE-B247-06874382B878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H98:H100</xm:sqref>
        </x14:conditionalFormatting>
        <x14:conditionalFormatting xmlns:xm="http://schemas.microsoft.com/office/excel/2006/main">
          <x14:cfRule type="iconSet" priority="316" id="{D93EAA8D-903B-4F01-8467-9925A16527EC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H103</xm:sqref>
        </x14:conditionalFormatting>
        <x14:conditionalFormatting xmlns:xm="http://schemas.microsoft.com/office/excel/2006/main">
          <x14:cfRule type="iconSet" priority="311" id="{82653D67-CE5F-4B74-8518-0096774B8A62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H104:H105</xm:sqref>
        </x14:conditionalFormatting>
        <x14:conditionalFormatting xmlns:xm="http://schemas.microsoft.com/office/excel/2006/main">
          <x14:cfRule type="iconSet" priority="306" id="{6CE0D4D0-3248-4DDD-935F-01B061112924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H109:H116</xm:sqref>
        </x14:conditionalFormatting>
        <x14:conditionalFormatting xmlns:xm="http://schemas.microsoft.com/office/excel/2006/main">
          <x14:cfRule type="iconSet" priority="301" id="{6F7AE356-984A-4169-8F64-259F626BAB99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H119:H122</xm:sqref>
        </x14:conditionalFormatting>
        <x14:conditionalFormatting xmlns:xm="http://schemas.microsoft.com/office/excel/2006/main">
          <x14:cfRule type="iconSet" priority="296" id="{15D95891-DE66-40B6-A728-F5712993A3B5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H125:H126</xm:sqref>
        </x14:conditionalFormatting>
        <x14:conditionalFormatting xmlns:xm="http://schemas.microsoft.com/office/excel/2006/main">
          <x14:cfRule type="iconSet" priority="291" id="{72AD315A-F8B9-4515-8C11-F5BA6C3B23BB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H127:H128</xm:sqref>
        </x14:conditionalFormatting>
        <x14:conditionalFormatting xmlns:xm="http://schemas.microsoft.com/office/excel/2006/main">
          <x14:cfRule type="iconSet" priority="286" id="{2F7B0758-378E-4CB4-8861-D2A39020FDDC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H131</xm:sqref>
        </x14:conditionalFormatting>
        <x14:conditionalFormatting xmlns:xm="http://schemas.microsoft.com/office/excel/2006/main">
          <x14:cfRule type="iconSet" priority="281" id="{C46A50A2-7A96-41F4-803A-63056A2CC039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H135:H136</xm:sqref>
        </x14:conditionalFormatting>
        <x14:conditionalFormatting xmlns:xm="http://schemas.microsoft.com/office/excel/2006/main">
          <x14:cfRule type="iconSet" priority="276" id="{8F2812CA-072E-4AA5-AB1C-9AA0FE73A715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H137:H138</xm:sqref>
        </x14:conditionalFormatting>
        <x14:conditionalFormatting xmlns:xm="http://schemas.microsoft.com/office/excel/2006/main">
          <x14:cfRule type="iconSet" priority="271" id="{D336FCA1-E23B-427C-BA84-AEF648E94226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H141:H142 H145:H146</xm:sqref>
        </x14:conditionalFormatting>
        <x14:conditionalFormatting xmlns:xm="http://schemas.microsoft.com/office/excel/2006/main">
          <x14:cfRule type="iconSet" priority="266" id="{0F6DC895-D28C-46BA-99B2-A682E7C01C97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H143:H144</xm:sqref>
        </x14:conditionalFormatting>
        <x14:conditionalFormatting xmlns:xm="http://schemas.microsoft.com/office/excel/2006/main">
          <x14:cfRule type="iconSet" priority="261" id="{031DA720-511F-4CF8-8012-03D9817292EE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H147</xm:sqref>
        </x14:conditionalFormatting>
        <x14:conditionalFormatting xmlns:xm="http://schemas.microsoft.com/office/excel/2006/main">
          <x14:cfRule type="iconSet" priority="256" id="{8D45D4F2-4E57-43C8-BD68-A8F0246C36EA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H150</xm:sqref>
        </x14:conditionalFormatting>
        <x14:conditionalFormatting xmlns:xm="http://schemas.microsoft.com/office/excel/2006/main">
          <x14:cfRule type="iconSet" priority="251" id="{A47A50B8-0E3A-4520-8B1C-2C9FF384DDB5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H151</xm:sqref>
        </x14:conditionalFormatting>
        <x14:conditionalFormatting xmlns:xm="http://schemas.microsoft.com/office/excel/2006/main">
          <x14:cfRule type="iconSet" priority="246" id="{CD4498C5-C87F-49AA-815C-83410DF75C1B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H156</xm:sqref>
        </x14:conditionalFormatting>
        <x14:conditionalFormatting xmlns:xm="http://schemas.microsoft.com/office/excel/2006/main">
          <x14:cfRule type="iconSet" priority="241" id="{876AFF73-ACDB-4D37-ABD9-61416CBDC845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H157</xm:sqref>
        </x14:conditionalFormatting>
        <x14:conditionalFormatting xmlns:xm="http://schemas.microsoft.com/office/excel/2006/main">
          <x14:cfRule type="iconSet" priority="236" id="{73A68AC9-B97A-4F05-88BE-4DE909F02D33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H158</xm:sqref>
        </x14:conditionalFormatting>
        <x14:conditionalFormatting xmlns:xm="http://schemas.microsoft.com/office/excel/2006/main">
          <x14:cfRule type="iconSet" priority="231" id="{357740EF-CAE3-41E2-903F-A3345EA42AAC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H159</xm:sqref>
        </x14:conditionalFormatting>
        <x14:conditionalFormatting xmlns:xm="http://schemas.microsoft.com/office/excel/2006/main">
          <x14:cfRule type="iconSet" priority="226" id="{29683CC2-6CDD-448A-A9ED-6FE271FE6613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H162</xm:sqref>
        </x14:conditionalFormatting>
        <x14:conditionalFormatting xmlns:xm="http://schemas.microsoft.com/office/excel/2006/main">
          <x14:cfRule type="iconSet" priority="221" id="{EA01E25E-D94F-4DB8-A1FD-734689301203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H163</xm:sqref>
        </x14:conditionalFormatting>
        <x14:conditionalFormatting xmlns:xm="http://schemas.microsoft.com/office/excel/2006/main">
          <x14:cfRule type="iconSet" priority="216" id="{964DFCEA-7A73-448E-B237-099A13AA6B1F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H164</xm:sqref>
        </x14:conditionalFormatting>
        <x14:conditionalFormatting xmlns:xm="http://schemas.microsoft.com/office/excel/2006/main">
          <x14:cfRule type="iconSet" priority="211" id="{01C03078-3C2C-481C-927B-B1F2C9D2B6CC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H165</xm:sqref>
        </x14:conditionalFormatting>
        <x14:conditionalFormatting xmlns:xm="http://schemas.microsoft.com/office/excel/2006/main">
          <x14:cfRule type="iconSet" priority="206" id="{54BEB822-A86F-4550-AA64-2CDC02481239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H166</xm:sqref>
        </x14:conditionalFormatting>
        <x14:conditionalFormatting xmlns:xm="http://schemas.microsoft.com/office/excel/2006/main">
          <x14:cfRule type="iconSet" priority="201" id="{EC77A297-4FC6-4744-BE1E-AED6D9DC61EB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H167</xm:sqref>
        </x14:conditionalFormatting>
        <x14:conditionalFormatting xmlns:xm="http://schemas.microsoft.com/office/excel/2006/main">
          <x14:cfRule type="iconSet" priority="196" id="{B32C9884-2220-4AFC-9965-1524912D4B00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H168</xm:sqref>
        </x14:conditionalFormatting>
        <x14:conditionalFormatting xmlns:xm="http://schemas.microsoft.com/office/excel/2006/main">
          <x14:cfRule type="iconSet" priority="191" id="{C5E23E6F-58C8-4E8B-9744-643CDEC89AAE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H169</xm:sqref>
        </x14:conditionalFormatting>
        <x14:conditionalFormatting xmlns:xm="http://schemas.microsoft.com/office/excel/2006/main">
          <x14:cfRule type="iconSet" priority="186" id="{BCA6A60E-2E8D-41C1-9C2A-C084B2BB8387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H170</xm:sqref>
        </x14:conditionalFormatting>
        <x14:conditionalFormatting xmlns:xm="http://schemas.microsoft.com/office/excel/2006/main">
          <x14:cfRule type="iconSet" priority="181" id="{B8461542-7F38-43E1-AED6-99960006E63E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H171</xm:sqref>
        </x14:conditionalFormatting>
        <x14:conditionalFormatting xmlns:xm="http://schemas.microsoft.com/office/excel/2006/main">
          <x14:cfRule type="iconSet" priority="176" id="{200CE6D5-F355-4E4E-975A-CDF21C30C109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H177</xm:sqref>
        </x14:conditionalFormatting>
        <x14:conditionalFormatting xmlns:xm="http://schemas.microsoft.com/office/excel/2006/main">
          <x14:cfRule type="iconSet" priority="171" id="{B5EBCEA1-73E1-402C-86F8-1A5EB780A3D5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H178</xm:sqref>
        </x14:conditionalFormatting>
        <x14:conditionalFormatting xmlns:xm="http://schemas.microsoft.com/office/excel/2006/main">
          <x14:cfRule type="iconSet" priority="166" id="{ACA9A873-2DA7-4E35-BDD1-D2A788F9BEE6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K10:K14</xm:sqref>
        </x14:conditionalFormatting>
        <x14:conditionalFormatting xmlns:xm="http://schemas.microsoft.com/office/excel/2006/main">
          <x14:cfRule type="iconSet" priority="157" id="{E0FF5220-A1E6-4058-B716-C4EF885A5EE8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K110:K116</xm:sqref>
        </x14:conditionalFormatting>
        <x14:conditionalFormatting xmlns:xm="http://schemas.microsoft.com/office/excel/2006/main">
          <x14:cfRule type="iconSet" priority="148" id="{BF75D0F4-EE09-43B3-8728-1DD8DCFF1BD9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K25:K28</xm:sqref>
        </x14:conditionalFormatting>
        <x14:conditionalFormatting xmlns:xm="http://schemas.microsoft.com/office/excel/2006/main">
          <x14:cfRule type="iconSet" priority="139" id="{6E75DAF4-AD83-4FB5-BA88-F96E93918A03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K64:K66</xm:sqref>
        </x14:conditionalFormatting>
        <x14:conditionalFormatting xmlns:xm="http://schemas.microsoft.com/office/excel/2006/main">
          <x14:cfRule type="iconSet" priority="134" id="{96FA8CDE-C257-444F-9AC5-2CBF2D662E46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K69:K74</xm:sqref>
        </x14:conditionalFormatting>
        <x14:conditionalFormatting xmlns:xm="http://schemas.microsoft.com/office/excel/2006/main">
          <x14:cfRule type="iconSet" priority="129" id="{149DEC7F-3C6A-4ED9-B01B-9A3BD69AC70F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K77:K78</xm:sqref>
        </x14:conditionalFormatting>
        <x14:conditionalFormatting xmlns:xm="http://schemas.microsoft.com/office/excel/2006/main">
          <x14:cfRule type="iconSet" priority="124" id="{AE2A135B-D2BD-49A6-9776-2B8953843DF8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K81:K82</xm:sqref>
        </x14:conditionalFormatting>
        <x14:conditionalFormatting xmlns:xm="http://schemas.microsoft.com/office/excel/2006/main">
          <x14:cfRule type="iconSet" priority="119" id="{493932D8-5EB2-4FCC-854E-FC44C3FA7FA6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K85:K94</xm:sqref>
        </x14:conditionalFormatting>
        <x14:conditionalFormatting xmlns:xm="http://schemas.microsoft.com/office/excel/2006/main">
          <x14:cfRule type="iconSet" priority="114" id="{9186ADD1-F58E-4390-86AB-9A7A5D642D31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K97:K100</xm:sqref>
        </x14:conditionalFormatting>
        <x14:conditionalFormatting xmlns:xm="http://schemas.microsoft.com/office/excel/2006/main">
          <x14:cfRule type="iconSet" priority="109" id="{43C660C4-9201-4A5C-8DFC-97D0941135F4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K103:K106</xm:sqref>
        </x14:conditionalFormatting>
        <x14:conditionalFormatting xmlns:xm="http://schemas.microsoft.com/office/excel/2006/main">
          <x14:cfRule type="iconSet" priority="104" id="{D651DD49-9A21-423E-89C9-D6FD39A90DD7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K109</xm:sqref>
        </x14:conditionalFormatting>
        <x14:conditionalFormatting xmlns:xm="http://schemas.microsoft.com/office/excel/2006/main">
          <x14:cfRule type="iconSet" priority="99" id="{D490AE28-ECE2-4F4A-BA6D-967EB6564E68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K119:K122</xm:sqref>
        </x14:conditionalFormatting>
        <x14:conditionalFormatting xmlns:xm="http://schemas.microsoft.com/office/excel/2006/main">
          <x14:cfRule type="iconSet" priority="94" id="{3BFD754C-CBED-45EA-B998-A688815F2EDA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K125:K128</xm:sqref>
        </x14:conditionalFormatting>
        <x14:conditionalFormatting xmlns:xm="http://schemas.microsoft.com/office/excel/2006/main">
          <x14:cfRule type="iconSet" priority="89" id="{A9F2A437-DC48-45EB-92E4-A0073292CD1D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K131</xm:sqref>
        </x14:conditionalFormatting>
        <x14:conditionalFormatting xmlns:xm="http://schemas.microsoft.com/office/excel/2006/main">
          <x14:cfRule type="iconSet" priority="84" id="{CEE42EB0-E12E-4962-8BE3-B0D8DB4DCE99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K135:K138</xm:sqref>
        </x14:conditionalFormatting>
        <x14:conditionalFormatting xmlns:xm="http://schemas.microsoft.com/office/excel/2006/main">
          <x14:cfRule type="iconSet" priority="79" id="{4E5ACAA1-E2FE-4698-B1B8-C0F44A0E8289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K141:K147</xm:sqref>
        </x14:conditionalFormatting>
        <x14:conditionalFormatting xmlns:xm="http://schemas.microsoft.com/office/excel/2006/main">
          <x14:cfRule type="iconSet" priority="74" id="{3D7C125E-FF99-4F35-95B0-9C4121165327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K150:K151</xm:sqref>
        </x14:conditionalFormatting>
        <x14:conditionalFormatting xmlns:xm="http://schemas.microsoft.com/office/excel/2006/main">
          <x14:cfRule type="iconSet" priority="69" id="{47A04AD5-5C32-44A2-838F-58D5E49F686A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K156:K159</xm:sqref>
        </x14:conditionalFormatting>
        <x14:conditionalFormatting xmlns:xm="http://schemas.microsoft.com/office/excel/2006/main">
          <x14:cfRule type="iconSet" priority="60" id="{2D5FD4DA-063A-457A-A174-88C98A67D481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K177:K178</xm:sqref>
        </x14:conditionalFormatting>
        <x14:conditionalFormatting xmlns:xm="http://schemas.microsoft.com/office/excel/2006/main">
          <x14:cfRule type="iconSet" priority="55" id="{02BF0EDC-90B4-4672-BE02-54234DAD9E7F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K181 K183</xm:sqref>
        </x14:conditionalFormatting>
        <x14:conditionalFormatting xmlns:xm="http://schemas.microsoft.com/office/excel/2006/main">
          <x14:cfRule type="iconSet" priority="50" id="{6BB437D3-5D6E-4045-91C9-0CEB2F06C47B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H152</xm:sqref>
        </x14:conditionalFormatting>
        <x14:conditionalFormatting xmlns:xm="http://schemas.microsoft.com/office/excel/2006/main">
          <x14:cfRule type="iconSet" priority="45" id="{ADB2759D-F672-41A5-8783-8B3E308F59A0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K152</xm:sqref>
        </x14:conditionalFormatting>
        <x14:conditionalFormatting xmlns:xm="http://schemas.microsoft.com/office/excel/2006/main">
          <x14:cfRule type="iconSet" priority="394" id="{E6B22603-3926-4AAA-8ACA-FBA868F0ECE2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K49:K54</xm:sqref>
        </x14:conditionalFormatting>
        <x14:conditionalFormatting xmlns:xm="http://schemas.microsoft.com/office/excel/2006/main">
          <x14:cfRule type="iconSet" priority="395" id="{F26F263C-A58D-4DD5-8835-F4E59C0EEC18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H58:H60</xm:sqref>
        </x14:conditionalFormatting>
        <x14:conditionalFormatting xmlns:xm="http://schemas.microsoft.com/office/excel/2006/main">
          <x14:cfRule type="iconSet" priority="396" id="{027191E9-DF54-4E9C-956E-1C3FC2699A72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K58:K60</xm:sqref>
        </x14:conditionalFormatting>
        <x14:conditionalFormatting xmlns:xm="http://schemas.microsoft.com/office/excel/2006/main">
          <x14:cfRule type="iconSet" priority="397" id="{C37991D1-6DF8-41F3-B4A7-50113E817855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H19:H20</xm:sqref>
        </x14:conditionalFormatting>
        <x14:conditionalFormatting xmlns:xm="http://schemas.microsoft.com/office/excel/2006/main">
          <x14:cfRule type="iconSet" priority="398" id="{0522172D-BEF9-4992-82D3-3509431CDAFD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K17:K21</xm:sqref>
        </x14:conditionalFormatting>
        <x14:conditionalFormatting xmlns:xm="http://schemas.microsoft.com/office/excel/2006/main">
          <x14:cfRule type="iconSet" priority="40" id="{333C8745-88E8-4688-BE90-72E47C03FE7A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K174</xm:sqref>
        </x14:conditionalFormatting>
        <x14:conditionalFormatting xmlns:xm="http://schemas.microsoft.com/office/excel/2006/main">
          <x14:cfRule type="iconSet" priority="35" id="{76C7056D-27D9-479D-8131-8EF173587BE3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H174</xm:sqref>
        </x14:conditionalFormatting>
        <x14:conditionalFormatting xmlns:xm="http://schemas.microsoft.com/office/excel/2006/main">
          <x14:cfRule type="iconSet" priority="399" id="{1C1BA2AB-3451-43DB-8C28-F43BA1A3DD33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K162:K171</xm:sqref>
        </x14:conditionalFormatting>
        <x14:conditionalFormatting xmlns:xm="http://schemas.microsoft.com/office/excel/2006/main">
          <x14:cfRule type="iconSet" priority="30" id="{D7C531E5-3EF6-4C37-B369-F64FDBD5DF81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H106</xm:sqref>
        </x14:conditionalFormatting>
        <x14:conditionalFormatting xmlns:xm="http://schemas.microsoft.com/office/excel/2006/main">
          <x14:cfRule type="iconSet" priority="25" id="{0CFEE3C4-3489-4A78-81B0-D2CC0AB311D9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H181</xm:sqref>
        </x14:conditionalFormatting>
        <x14:conditionalFormatting xmlns:xm="http://schemas.microsoft.com/office/excel/2006/main">
          <x14:cfRule type="iconSet" priority="20" id="{DF74A5E8-9B43-48DB-881E-194FE034F0DF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K46</xm:sqref>
        </x14:conditionalFormatting>
        <x14:conditionalFormatting xmlns:xm="http://schemas.microsoft.com/office/excel/2006/main">
          <x14:cfRule type="iconSet" priority="15" id="{F529FF2E-AF1D-4416-B807-E53CAE25FBAC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H46</xm:sqref>
        </x14:conditionalFormatting>
        <x14:conditionalFormatting xmlns:xm="http://schemas.microsoft.com/office/excel/2006/main">
          <x14:cfRule type="iconSet" priority="400" id="{C2DBC145-7BD2-4983-9CD5-D433C22CF9F0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H32:H42</xm:sqref>
        </x14:conditionalFormatting>
        <x14:conditionalFormatting xmlns:xm="http://schemas.microsoft.com/office/excel/2006/main">
          <x14:cfRule type="iconSet" priority="401" id="{9D461544-6BD6-462D-8378-0BD276ADB376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K32:K42</xm:sqref>
        </x14:conditionalFormatting>
        <x14:conditionalFormatting xmlns:xm="http://schemas.microsoft.com/office/excel/2006/main">
          <x14:cfRule type="iconSet" priority="10" id="{BFC7C774-E2BA-4C78-B7DD-478D75464132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H21</xm:sqref>
        </x14:conditionalFormatting>
        <x14:conditionalFormatting xmlns:xm="http://schemas.microsoft.com/office/excel/2006/main">
          <x14:cfRule type="iconSet" priority="5" id="{A8FCF150-2F3F-4ECC-8635-F172CB0A319C}">
            <x14:iconSet custom="1">
              <x14:cfvo type="percent">
                <xm:f>0</xm:f>
              </x14:cfvo>
              <x14:cfvo type="num">
                <xm:f>#REF!</xm:f>
              </x14:cfvo>
              <x14:cfvo type="num" gte="0">
                <xm:f>#REF!</xm:f>
              </x14:cfvo>
              <x14:cfIcon iconSet="3Arrows" iconId="0"/>
              <x14:cfIcon iconSet="3Arrows" iconId="1"/>
              <x14:cfIcon iconSet="3Arrows" iconId="2"/>
            </x14:iconSet>
          </x14:cfRule>
          <xm:sqref>H183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workbookViewId="0">
      <selection activeCell="B41" sqref="B41"/>
    </sheetView>
  </sheetViews>
  <sheetFormatPr baseColWidth="10" defaultRowHeight="15" x14ac:dyDescent="0.25"/>
  <cols>
    <col min="1" max="1" width="12.7109375" customWidth="1"/>
    <col min="2" max="2" width="80.7109375" customWidth="1"/>
    <col min="3" max="3" width="20.7109375" customWidth="1"/>
    <col min="4" max="4" width="5.7109375" customWidth="1"/>
    <col min="5" max="5" width="14" bestFit="1" customWidth="1"/>
    <col min="6" max="6" width="14.140625" bestFit="1" customWidth="1"/>
  </cols>
  <sheetData>
    <row r="2" spans="1:3" x14ac:dyDescent="0.25">
      <c r="B2" s="135" t="s">
        <v>203</v>
      </c>
    </row>
    <row r="4" spans="1:3" ht="15" customHeight="1" x14ac:dyDescent="0.25">
      <c r="B4" s="135" t="s">
        <v>204</v>
      </c>
    </row>
    <row r="5" spans="1:3" ht="15" customHeight="1" x14ac:dyDescent="0.25"/>
    <row r="6" spans="1:3" s="3" customFormat="1" x14ac:dyDescent="0.25">
      <c r="A6" s="136" t="s">
        <v>205</v>
      </c>
      <c r="B6" s="136" t="s">
        <v>206</v>
      </c>
      <c r="C6" s="136" t="s">
        <v>207</v>
      </c>
    </row>
    <row r="8" spans="1:3" x14ac:dyDescent="0.25">
      <c r="A8" s="137" t="s">
        <v>208</v>
      </c>
      <c r="B8" s="137" t="s">
        <v>209</v>
      </c>
      <c r="C8" s="138">
        <f>'Obra civil sin electr LICIT'!L9</f>
        <v>19295.990999999998</v>
      </c>
    </row>
    <row r="9" spans="1:3" x14ac:dyDescent="0.25">
      <c r="A9" s="137" t="s">
        <v>210</v>
      </c>
      <c r="B9" s="137" t="s">
        <v>211</v>
      </c>
      <c r="C9" s="138">
        <f>'Obra civil sin electr LICIT'!L16+'Obra civil sin electr LICIT'!L24</f>
        <v>361390.18041176465</v>
      </c>
    </row>
    <row r="10" spans="1:3" x14ac:dyDescent="0.25">
      <c r="A10" s="137" t="s">
        <v>212</v>
      </c>
      <c r="B10" s="137" t="s">
        <v>213</v>
      </c>
      <c r="C10" s="138">
        <f>'Obra civil sin electr LICIT'!L31</f>
        <v>259716.96035999994</v>
      </c>
    </row>
    <row r="11" spans="1:3" x14ac:dyDescent="0.25">
      <c r="A11" s="137" t="s">
        <v>214</v>
      </c>
      <c r="B11" s="137" t="s">
        <v>215</v>
      </c>
      <c r="C11" s="138">
        <f>'Obra civil sin electr LICIT'!L45</f>
        <v>44256.622410000004</v>
      </c>
    </row>
    <row r="12" spans="1:3" x14ac:dyDescent="0.25">
      <c r="A12" s="137" t="s">
        <v>216</v>
      </c>
      <c r="B12" s="137" t="s">
        <v>217</v>
      </c>
      <c r="C12" s="139" t="s">
        <v>159</v>
      </c>
    </row>
    <row r="13" spans="1:3" x14ac:dyDescent="0.25">
      <c r="A13" s="137" t="s">
        <v>218</v>
      </c>
      <c r="B13" s="137" t="s">
        <v>219</v>
      </c>
      <c r="C13" s="138">
        <f>'Obra civil sin electr LICIT'!L102</f>
        <v>827129.60125714273</v>
      </c>
    </row>
    <row r="14" spans="1:3" x14ac:dyDescent="0.25">
      <c r="A14" s="137" t="s">
        <v>220</v>
      </c>
      <c r="B14" s="137" t="s">
        <v>221</v>
      </c>
      <c r="C14" s="138">
        <f>'Obra civil sin electr LICIT'!L48+'Obra civil sin electr LICIT'!L57</f>
        <v>144265.05262436974</v>
      </c>
    </row>
    <row r="15" spans="1:3" x14ac:dyDescent="0.25">
      <c r="A15" s="137" t="s">
        <v>222</v>
      </c>
      <c r="B15" s="137" t="s">
        <v>223</v>
      </c>
      <c r="C15" s="139" t="s">
        <v>159</v>
      </c>
    </row>
    <row r="16" spans="1:3" x14ac:dyDescent="0.25">
      <c r="A16" s="137" t="s">
        <v>224</v>
      </c>
      <c r="B16" s="137" t="s">
        <v>225</v>
      </c>
      <c r="C16" s="138">
        <f>'Obra civil sin electr LICIT'!L63+'Obra civil sin electr LICIT'!L68+'Obra civil sin electr LICIT'!L76+'Obra civil sin electr LICIT'!L80</f>
        <v>1769568.8062659749</v>
      </c>
    </row>
    <row r="17" spans="1:6" x14ac:dyDescent="0.25">
      <c r="A17" s="137" t="s">
        <v>226</v>
      </c>
      <c r="B17" s="137" t="s">
        <v>227</v>
      </c>
      <c r="C17" s="138">
        <f>'Obra civil sin electr LICIT'!L108</f>
        <v>54657.345600000001</v>
      </c>
    </row>
    <row r="18" spans="1:6" x14ac:dyDescent="0.25">
      <c r="A18" s="137" t="s">
        <v>228</v>
      </c>
      <c r="B18" s="137" t="s">
        <v>229</v>
      </c>
      <c r="C18" s="138">
        <f>'Obra civil sin electr LICIT'!L161</f>
        <v>200887.82999999996</v>
      </c>
    </row>
    <row r="19" spans="1:6" x14ac:dyDescent="0.25">
      <c r="A19" s="137" t="s">
        <v>230</v>
      </c>
      <c r="B19" s="137" t="s">
        <v>73</v>
      </c>
      <c r="C19" s="138">
        <f>'Obra civil sin electr LICIT'!L84</f>
        <v>296076.57828707667</v>
      </c>
    </row>
    <row r="20" spans="1:6" x14ac:dyDescent="0.25">
      <c r="A20" s="137" t="s">
        <v>231</v>
      </c>
      <c r="B20" s="137" t="s">
        <v>232</v>
      </c>
      <c r="C20" s="138">
        <f>'Obra civil sin electr LICIT'!L118+'Obra civil sin electr LICIT'!L124</f>
        <v>121429.18813734743</v>
      </c>
    </row>
    <row r="21" spans="1:6" x14ac:dyDescent="0.25">
      <c r="A21" s="137" t="s">
        <v>233</v>
      </c>
      <c r="B21" s="137" t="s">
        <v>234</v>
      </c>
      <c r="C21" s="138">
        <f>'Obra civil sin electr LICIT'!L155+'Obra civil sin electr LICIT'!L176+'Obra civil sin electr LICIT'!L180</f>
        <v>416437.85517019156</v>
      </c>
    </row>
    <row r="22" spans="1:6" x14ac:dyDescent="0.25">
      <c r="A22" s="137" t="s">
        <v>235</v>
      </c>
      <c r="B22" s="137" t="s">
        <v>236</v>
      </c>
      <c r="C22" s="138">
        <f>'Obra civil sin electr LICIT'!L96</f>
        <v>53356.987894736842</v>
      </c>
    </row>
    <row r="23" spans="1:6" x14ac:dyDescent="0.25">
      <c r="A23" s="137" t="s">
        <v>237</v>
      </c>
      <c r="B23" s="137" t="s">
        <v>238</v>
      </c>
      <c r="C23" s="138">
        <f>'Obra civil sin electr LICIT'!L140</f>
        <v>345320.76640285709</v>
      </c>
    </row>
    <row r="24" spans="1:6" x14ac:dyDescent="0.25">
      <c r="A24" s="137" t="s">
        <v>239</v>
      </c>
      <c r="B24" s="137" t="s">
        <v>240</v>
      </c>
      <c r="C24" s="138">
        <f>'Obra civil sin electr LICIT'!L130</f>
        <v>34826.22</v>
      </c>
    </row>
    <row r="25" spans="1:6" ht="150" x14ac:dyDescent="0.25">
      <c r="A25" s="137" t="s">
        <v>241</v>
      </c>
      <c r="B25" s="156" t="s">
        <v>260</v>
      </c>
      <c r="C25" s="138">
        <f>'Obra civil sin electr LICIT'!L149</f>
        <v>540950.29559999995</v>
      </c>
    </row>
    <row r="26" spans="1:6" x14ac:dyDescent="0.25">
      <c r="A26" s="137" t="s">
        <v>242</v>
      </c>
      <c r="B26" s="137" t="s">
        <v>243</v>
      </c>
      <c r="C26" s="138">
        <f>'Obra civil sin electr LICIT'!L134</f>
        <v>45244.073159999993</v>
      </c>
    </row>
    <row r="27" spans="1:6" x14ac:dyDescent="0.25">
      <c r="A27" s="137" t="s">
        <v>244</v>
      </c>
      <c r="B27" s="137" t="s">
        <v>245</v>
      </c>
      <c r="C27" s="138">
        <f>'Obra civil sin electr LICIT'!L173</f>
        <v>375868.35</v>
      </c>
    </row>
    <row r="28" spans="1:6" x14ac:dyDescent="0.25">
      <c r="A28" s="137"/>
      <c r="B28" s="137"/>
      <c r="C28" s="137"/>
    </row>
    <row r="29" spans="1:6" x14ac:dyDescent="0.25">
      <c r="A29" s="140"/>
      <c r="B29" s="140" t="s">
        <v>246</v>
      </c>
      <c r="C29" s="141">
        <f>SUM(C8:C28)</f>
        <v>5910678.7045814618</v>
      </c>
      <c r="E29" s="142"/>
      <c r="F29" s="163"/>
    </row>
    <row r="30" spans="1:6" x14ac:dyDescent="0.25">
      <c r="E30" s="142"/>
    </row>
    <row r="31" spans="1:6" x14ac:dyDescent="0.25">
      <c r="B31" s="164" t="s">
        <v>261</v>
      </c>
      <c r="E31" s="142"/>
    </row>
    <row r="33" spans="1:5" s="3" customFormat="1" x14ac:dyDescent="0.25">
      <c r="A33" s="136" t="s">
        <v>205</v>
      </c>
      <c r="B33" s="136" t="s">
        <v>206</v>
      </c>
      <c r="C33" s="136" t="s">
        <v>207</v>
      </c>
    </row>
    <row r="35" spans="1:5" ht="60" x14ac:dyDescent="0.25">
      <c r="A35" s="155" t="s">
        <v>254</v>
      </c>
      <c r="B35" s="156" t="str">
        <f>'Obra civil sin electr LICIT'!B152</f>
        <v>Agregado de equipos LG sistema VRF de Heat Recovery para PB (cant. 2 un de 9.000Frig/h), 4to (cant. 2 un, de 3.700Frig/h y 4.500Frig/h), 5to (cant. 2 un, de 2.200Frig/h y 3.000Frig/h) y 6to (cant. 1 un de 3.000Frig/h),  para cubrir las capacidades de refrigeración necesarias, de acuerdo al layout definitivo y un balance a confirmar.</v>
      </c>
      <c r="C35" s="157">
        <f>+'Obra civil sin electr LICIT'!L152</f>
        <v>1553102.1791999999</v>
      </c>
      <c r="E35" s="163"/>
    </row>
    <row r="36" spans="1:5" x14ac:dyDescent="0.25">
      <c r="A36" s="137"/>
      <c r="B36" s="137"/>
      <c r="C36" s="137"/>
    </row>
    <row r="37" spans="1:5" x14ac:dyDescent="0.25">
      <c r="A37" s="140"/>
      <c r="B37" s="140" t="s">
        <v>246</v>
      </c>
      <c r="C37" s="141">
        <f>SUM(C35:C36)</f>
        <v>1553102.1791999999</v>
      </c>
      <c r="E37" s="142"/>
    </row>
    <row r="38" spans="1:5" ht="15.75" thickBot="1" x14ac:dyDescent="0.3"/>
    <row r="39" spans="1:5" ht="15.75" thickBot="1" x14ac:dyDescent="0.3">
      <c r="A39" s="160"/>
      <c r="B39" s="161" t="s">
        <v>246</v>
      </c>
      <c r="C39" s="162">
        <f>C37+C29</f>
        <v>7463780.883781462</v>
      </c>
      <c r="E39" s="142"/>
    </row>
  </sheetData>
  <pageMargins left="0.70866141732283472" right="0.70866141732283472" top="0.74803149606299213" bottom="0.74803149606299213" header="0.31496062992125984" footer="0.31496062992125984"/>
  <pageSetup paperSize="9" scale="76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Obra civil sin electr LICIT</vt:lpstr>
      <vt:lpstr>Planilla de Licitación</vt:lpstr>
      <vt:lpstr>'Obra civil sin electr LICIT'!Área_de_impresión</vt:lpstr>
      <vt:lpstr>'Planilla de Licitación'!Área_de_impresión</vt:lpstr>
    </vt:vector>
  </TitlesOfParts>
  <Company>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Ciacciariello</dc:creator>
  <cp:lastModifiedBy>jsantilli</cp:lastModifiedBy>
  <cp:lastPrinted>2017-01-03T17:50:45Z</cp:lastPrinted>
  <dcterms:created xsi:type="dcterms:W3CDTF">2016-10-28T15:41:32Z</dcterms:created>
  <dcterms:modified xsi:type="dcterms:W3CDTF">2017-01-03T17:57:42Z</dcterms:modified>
</cp:coreProperties>
</file>